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se0-my.sharepoint.com/personal/kelima_yakupova_pse_com/Documents/Desktop/"/>
    </mc:Choice>
  </mc:AlternateContent>
  <xr:revisionPtr revIDLastSave="1" documentId="13_ncr:1_{074A0877-0AEC-41BF-BEA2-E650AB475602}" xr6:coauthVersionLast="47" xr6:coauthVersionMax="47" xr10:uidLastSave="{DF125779-C29A-4276-9178-0D0BE5381365}"/>
  <bookViews>
    <workbookView xWindow="-38520" yWindow="-3630" windowWidth="38640" windowHeight="23520" xr2:uid="{33075BCE-8313-4B91-BCFC-895BC7AAC9F0}"/>
  </bookViews>
  <sheets>
    <sheet name="Summary" sheetId="1" r:id="rId1"/>
    <sheet name="Support -&gt;" sheetId="3" r:id="rId2"/>
    <sheet name="ESM ADMIN COSTS 2023" sheetId="4" r:id="rId3"/>
    <sheet name="ESM ADMIN COSTS 2024" sheetId="5" r:id="rId4"/>
    <sheet name="ESM ADMIN COSTS 2025" sheetId="6" r:id="rId5"/>
    <sheet name="ESM ADMIN COSTS 2026" sheetId="7" r:id="rId6"/>
    <sheet name="Time Report" sheetId="8" r:id="rId7"/>
    <sheet name="FacilityRpts_Admin_Hours+Cost" sheetId="2" r:id="rId8"/>
    <sheet name="SALARY RATE" sheetId="9" r:id="rId9"/>
  </sheets>
  <definedNames>
    <definedName name="_xlnm._FilterDatabase" localSheetId="7" hidden="1">'FacilityRpts_Admin_Hours+Cost'!$I$1:$I$29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9" l="1"/>
  <c r="D7" i="9"/>
  <c r="C8" i="9"/>
  <c r="D8" i="9" s="1"/>
  <c r="D10" i="9"/>
  <c r="D11" i="9"/>
  <c r="D12" i="9"/>
  <c r="P6" i="2" s="1"/>
  <c r="G14" i="9"/>
  <c r="H14" i="9" s="1"/>
  <c r="D15" i="9"/>
  <c r="G15" i="9"/>
  <c r="H15" i="9" s="1"/>
  <c r="D23" i="9"/>
  <c r="D24" i="9"/>
  <c r="C25" i="9"/>
  <c r="D25" i="9"/>
  <c r="D27" i="9"/>
  <c r="D28" i="9"/>
  <c r="D29" i="9"/>
  <c r="G31" i="9"/>
  <c r="H31" i="9"/>
  <c r="G32" i="9"/>
  <c r="H32" i="9"/>
  <c r="I4" i="8"/>
  <c r="I34" i="8" s="1"/>
  <c r="J4" i="8"/>
  <c r="J34" i="8" s="1"/>
  <c r="K4" i="8"/>
  <c r="I5" i="8"/>
  <c r="J5" i="8"/>
  <c r="K5" i="8"/>
  <c r="I6" i="8"/>
  <c r="J6" i="8"/>
  <c r="K6" i="8"/>
  <c r="I7" i="8"/>
  <c r="J7" i="8"/>
  <c r="K7" i="8"/>
  <c r="I8" i="8"/>
  <c r="J8" i="8"/>
  <c r="K8" i="8"/>
  <c r="I9" i="8"/>
  <c r="J9" i="8"/>
  <c r="K9" i="8"/>
  <c r="I10" i="8"/>
  <c r="J10" i="8"/>
  <c r="I11" i="8"/>
  <c r="J11" i="8"/>
  <c r="I12" i="8"/>
  <c r="J12" i="8"/>
  <c r="K12" i="8"/>
  <c r="I13" i="8"/>
  <c r="J13" i="8"/>
  <c r="K13" i="8"/>
  <c r="I14" i="8"/>
  <c r="J14" i="8"/>
  <c r="K14" i="8"/>
  <c r="I15" i="8"/>
  <c r="J15" i="8"/>
  <c r="K15" i="8"/>
  <c r="I16" i="8"/>
  <c r="J16" i="8"/>
  <c r="K16" i="8"/>
  <c r="I17" i="8"/>
  <c r="J17" i="8"/>
  <c r="K17" i="8"/>
  <c r="I18" i="8"/>
  <c r="J18" i="8"/>
  <c r="I19" i="8"/>
  <c r="J19" i="8"/>
  <c r="I20" i="8"/>
  <c r="J20" i="8"/>
  <c r="K20" i="8"/>
  <c r="I21" i="8"/>
  <c r="J21" i="8"/>
  <c r="K21" i="8"/>
  <c r="I22" i="8"/>
  <c r="J22" i="8"/>
  <c r="K22" i="8"/>
  <c r="I23" i="8"/>
  <c r="J23" i="8"/>
  <c r="K23" i="8"/>
  <c r="I24" i="8"/>
  <c r="J24" i="8"/>
  <c r="I25" i="8"/>
  <c r="J25" i="8"/>
  <c r="I26" i="8"/>
  <c r="J26" i="8"/>
  <c r="K26" i="8"/>
  <c r="I27" i="8"/>
  <c r="J27" i="8"/>
  <c r="K27" i="8"/>
  <c r="I28" i="8"/>
  <c r="J28" i="8"/>
  <c r="K28" i="8"/>
  <c r="I29" i="8"/>
  <c r="J29" i="8"/>
  <c r="K29" i="8"/>
  <c r="I30" i="8"/>
  <c r="J30" i="8"/>
  <c r="K30" i="8"/>
  <c r="I31" i="8"/>
  <c r="J31" i="8"/>
  <c r="K31" i="8"/>
  <c r="I32" i="8"/>
  <c r="J32" i="8"/>
  <c r="K32" i="8"/>
  <c r="C5" i="7"/>
  <c r="D5" i="7" s="1"/>
  <c r="C6" i="7"/>
  <c r="D6" i="7" s="1"/>
  <c r="C7" i="7"/>
  <c r="D7" i="7" s="1"/>
  <c r="C8" i="7"/>
  <c r="D8" i="7" s="1"/>
  <c r="C9" i="7"/>
  <c r="D9" i="7" s="1"/>
  <c r="C12" i="7"/>
  <c r="D12" i="7" s="1"/>
  <c r="C13" i="7"/>
  <c r="D13" i="7" s="1"/>
  <c r="C14" i="7"/>
  <c r="D14" i="7" s="1"/>
  <c r="C15" i="7"/>
  <c r="D15" i="7" s="1"/>
  <c r="C16" i="7"/>
  <c r="D16" i="7"/>
  <c r="C17" i="7"/>
  <c r="D17" i="7"/>
  <c r="C20" i="7"/>
  <c r="D20" i="7"/>
  <c r="C21" i="7"/>
  <c r="D21" i="7" s="1"/>
  <c r="C22" i="7"/>
  <c r="D22" i="7" s="1"/>
  <c r="C23" i="7"/>
  <c r="D23" i="7" s="1"/>
  <c r="C26" i="7"/>
  <c r="D26" i="7" s="1"/>
  <c r="C27" i="7"/>
  <c r="D27" i="7"/>
  <c r="C28" i="7"/>
  <c r="D28" i="7" s="1"/>
  <c r="C29" i="7"/>
  <c r="D29" i="7" s="1"/>
  <c r="C30" i="7"/>
  <c r="D30" i="7"/>
  <c r="C31" i="7"/>
  <c r="D31" i="7" s="1"/>
  <c r="C32" i="7"/>
  <c r="D32" i="7" s="1"/>
  <c r="D36" i="7"/>
  <c r="E7" i="1" s="1"/>
  <c r="F7" i="1" s="1"/>
  <c r="D5" i="6"/>
  <c r="D6" i="6"/>
  <c r="D7" i="6"/>
  <c r="D8" i="6"/>
  <c r="D9" i="6"/>
  <c r="D12" i="6"/>
  <c r="D13" i="6"/>
  <c r="D14" i="6"/>
  <c r="D15" i="6"/>
  <c r="D16" i="6"/>
  <c r="D17" i="6"/>
  <c r="D20" i="6"/>
  <c r="D21" i="6"/>
  <c r="D22" i="6"/>
  <c r="D23" i="6"/>
  <c r="D26" i="6"/>
  <c r="D27" i="6"/>
  <c r="D28" i="6"/>
  <c r="D29" i="6"/>
  <c r="D30" i="6"/>
  <c r="D31" i="6"/>
  <c r="D32" i="6"/>
  <c r="C5" i="5"/>
  <c r="D5" i="5"/>
  <c r="C6" i="5"/>
  <c r="D6" i="5"/>
  <c r="C7" i="5"/>
  <c r="D7" i="5"/>
  <c r="C8" i="5"/>
  <c r="D8" i="5"/>
  <c r="C9" i="5"/>
  <c r="D9" i="5"/>
  <c r="C12" i="5"/>
  <c r="D12" i="5" s="1"/>
  <c r="C13" i="5"/>
  <c r="D13" i="5" s="1"/>
  <c r="C14" i="5"/>
  <c r="D14" i="5" s="1"/>
  <c r="C15" i="5"/>
  <c r="D15" i="5"/>
  <c r="C16" i="5"/>
  <c r="D16" i="5" s="1"/>
  <c r="C17" i="5"/>
  <c r="D17" i="5"/>
  <c r="C20" i="5"/>
  <c r="D20" i="5" s="1"/>
  <c r="C21" i="5"/>
  <c r="D21" i="5"/>
  <c r="C22" i="5"/>
  <c r="D22" i="5" s="1"/>
  <c r="C23" i="5"/>
  <c r="D23" i="5"/>
  <c r="C26" i="5"/>
  <c r="D26" i="5"/>
  <c r="C27" i="5"/>
  <c r="D27" i="5"/>
  <c r="C28" i="5"/>
  <c r="D28" i="5" s="1"/>
  <c r="C29" i="5"/>
  <c r="D29" i="5"/>
  <c r="C30" i="5"/>
  <c r="D30" i="5"/>
  <c r="C31" i="5"/>
  <c r="D31" i="5" s="1"/>
  <c r="C32" i="5"/>
  <c r="D32" i="5"/>
  <c r="D5" i="4"/>
  <c r="D35" i="4" s="1"/>
  <c r="B6" i="1" s="1"/>
  <c r="D6" i="4"/>
  <c r="D7" i="4"/>
  <c r="D8" i="4"/>
  <c r="D9" i="4"/>
  <c r="D10" i="4"/>
  <c r="D13" i="4"/>
  <c r="D14" i="4"/>
  <c r="D15" i="4"/>
  <c r="D16" i="4"/>
  <c r="D17" i="4"/>
  <c r="D18" i="4"/>
  <c r="D21" i="4"/>
  <c r="D22" i="4"/>
  <c r="D23" i="4"/>
  <c r="D24" i="4"/>
  <c r="D27" i="4"/>
  <c r="D28" i="4"/>
  <c r="D29" i="4"/>
  <c r="D30" i="4"/>
  <c r="D31" i="4"/>
  <c r="D32" i="4"/>
  <c r="D33" i="4"/>
  <c r="D7" i="1"/>
  <c r="P4" i="2" l="1"/>
  <c r="P5" i="2"/>
  <c r="S5" i="2" s="1"/>
  <c r="K35" i="8"/>
  <c r="K34" i="8"/>
  <c r="J35" i="8"/>
  <c r="I35" i="8"/>
  <c r="K36" i="8"/>
  <c r="D35" i="7"/>
  <c r="D35" i="6"/>
  <c r="D36" i="4"/>
  <c r="C5" i="1" s="1"/>
  <c r="I36" i="8"/>
  <c r="J36" i="8"/>
  <c r="F5" i="1"/>
  <c r="D37" i="7"/>
  <c r="E5" i="1"/>
  <c r="D37" i="6"/>
  <c r="D35" i="5"/>
  <c r="M4" i="2"/>
  <c r="S4" i="2" s="1"/>
  <c r="M5" i="2"/>
  <c r="M6" i="2"/>
  <c r="S6" i="2"/>
  <c r="D37" i="5" l="1"/>
  <c r="D5" i="1"/>
  <c r="S7" i="2"/>
  <c r="Y4" i="2" s="1"/>
  <c r="E8" i="1" s="1"/>
  <c r="X4" i="2" l="1"/>
  <c r="D8" i="1" s="1"/>
  <c r="W4" i="2"/>
  <c r="Z4" i="2"/>
  <c r="F8" i="1" s="1"/>
  <c r="AA4" i="2" l="1"/>
  <c r="C8" i="1"/>
  <c r="D4" i="1"/>
  <c r="E4" i="1"/>
  <c r="F4" i="1"/>
  <c r="G6" i="1"/>
  <c r="B4" i="1"/>
  <c r="G7" i="1"/>
  <c r="G5" i="1"/>
  <c r="G8" i="1" l="1"/>
  <c r="C4" i="1"/>
  <c r="G4" i="1" l="1"/>
</calcChain>
</file>

<file path=xl/sharedStrings.xml><?xml version="1.0" encoding="utf-8"?>
<sst xmlns="http://schemas.openxmlformats.org/spreadsheetml/2006/main" count="447" uniqueCount="133">
  <si>
    <t>Puget Sound Energy</t>
  </si>
  <si>
    <t>Figure 1: Limited Estimated Annual Costs associated with Cap-and-Invest Program (WAC 173-446) and GHG Reporting (WAC 173-441)</t>
  </si>
  <si>
    <t>2022-2026</t>
  </si>
  <si>
    <t>Total Annual Costs</t>
  </si>
  <si>
    <t>Staff Cost (WAC 173-446)</t>
  </si>
  <si>
    <t>Estimated fraction of past annual costs associated with Cap-and-Invest Program initiation, such as establishing accounts, initial entity registration, etc. (WAC 173-446)</t>
  </si>
  <si>
    <t>Verification Contract Costs* (WAC 173-446)</t>
  </si>
  <si>
    <t>Annual administrative costs associated with compliance with the GHG Reporting Rule (WAC 173-441)</t>
  </si>
  <si>
    <t>2027 onwards</t>
  </si>
  <si>
    <t>Estimated Annual Ongoing Costs</t>
  </si>
  <si>
    <t>$131K at 3% growth rate (GR) (Staff Costs WAC 173-446) + $98K at 5% GR (Verification Contract WAC 173-446) + $43K at 3% GR (Staff Costs WAC 173-441)</t>
  </si>
  <si>
    <t>Notes</t>
  </si>
  <si>
    <t>* Invoicing happens the following year; 2023-2024 are actuals for verfication of 2023 and 2024 compliance years, invoiced in 2024 and 2025)</t>
  </si>
  <si>
    <t>**GR stands for assumed annual growth rate</t>
  </si>
  <si>
    <t>Date: August 22, 2025</t>
  </si>
  <si>
    <t>Estimated 2023 C&amp;I Administrative Costs</t>
  </si>
  <si>
    <t>Hrs/month</t>
  </si>
  <si>
    <t>Rate</t>
  </si>
  <si>
    <t>Labor Costs</t>
  </si>
  <si>
    <t>System Costs</t>
  </si>
  <si>
    <t>Establishing and maintaining compliance accounts:</t>
  </si>
  <si>
    <t xml:space="preserve">   *CITSS account registration</t>
  </si>
  <si>
    <t>100 hrs</t>
  </si>
  <si>
    <t xml:space="preserve">   *Managing CITSS general, compliance &amp; LUHA accounts</t>
  </si>
  <si>
    <t>10 hrs / 4 months</t>
  </si>
  <si>
    <t>Third-party CITSS Allowance Transfers + Compliance</t>
  </si>
  <si>
    <t>1 hr/ 4 months</t>
  </si>
  <si>
    <t>Tracking compliance:</t>
  </si>
  <si>
    <t>Carbon Obligation Recon (PCI - EPE report)</t>
  </si>
  <si>
    <t>5 hrs / 1 month</t>
  </si>
  <si>
    <t>Annual EPE report</t>
  </si>
  <si>
    <t>10 hrs / 3 months</t>
  </si>
  <si>
    <t>EPE report transaction review (import, export, wheels, BPA)</t>
  </si>
  <si>
    <t>200 hrs</t>
  </si>
  <si>
    <t>All tracking compliance related activities</t>
  </si>
  <si>
    <t>48 hr/ 2 month</t>
  </si>
  <si>
    <t>2 hr/ 12 months</t>
  </si>
  <si>
    <t>Managing compliance instruments:</t>
  </si>
  <si>
    <t xml:space="preserve">   *Auction account registration &amp; participation</t>
  </si>
  <si>
    <t>5 hrs / 4 months</t>
  </si>
  <si>
    <t xml:space="preserve">   *Allowance Retirement </t>
  </si>
  <si>
    <t>2 hrs / year</t>
  </si>
  <si>
    <t>Meeting reporting &amp; verification requirements:</t>
  </si>
  <si>
    <t>Specified Source Registration</t>
  </si>
  <si>
    <t>10 hrs/ 1 month</t>
  </si>
  <si>
    <t>Verification contracting - MSA, SOW, and Invoicing</t>
  </si>
  <si>
    <t>10 hrs/ 3 months</t>
  </si>
  <si>
    <t xml:space="preserve">Data Analysis </t>
  </si>
  <si>
    <t>Report QA/QC</t>
  </si>
  <si>
    <t>20 hrs / 2 months</t>
  </si>
  <si>
    <t>Documentation, records review &amp; Verification Q&amp;A</t>
  </si>
  <si>
    <t>All reporting &amp; verification activities</t>
  </si>
  <si>
    <t>2 hrs / 2 months</t>
  </si>
  <si>
    <t>Estimated one-time cost</t>
  </si>
  <si>
    <t>Estimated Annual cost</t>
  </si>
  <si>
    <t>Estimated 2025 C&amp;I Administrative Costs</t>
  </si>
  <si>
    <t>Maintaining compliance accounts:</t>
  </si>
  <si>
    <t xml:space="preserve">   *CITSS account registration - User Accts &amp; Corp Disclosures</t>
  </si>
  <si>
    <t>20 hrs / annual</t>
  </si>
  <si>
    <t>10 hr/ 4 months</t>
  </si>
  <si>
    <t>Carbon Obligation Systems (PCI - EPE report)</t>
  </si>
  <si>
    <t>40 hrs / 3 months</t>
  </si>
  <si>
    <t>Estimated Annual 2024 cost</t>
  </si>
  <si>
    <t>Verifier Contract  cost:</t>
  </si>
  <si>
    <t>Total 2024 estimate:</t>
  </si>
  <si>
    <t>Verifier Contract 2025 cost:</t>
  </si>
  <si>
    <t>Total 2025 estimate:</t>
  </si>
  <si>
    <t>Estimated Annual 2026 cost</t>
  </si>
  <si>
    <t>Verifier Contract cost:</t>
  </si>
  <si>
    <t>Total 2026 estimate:</t>
  </si>
  <si>
    <t>Hours - 2022</t>
  </si>
  <si>
    <t>Hours - Jan/Feb</t>
  </si>
  <si>
    <t>Estimate Labor Costs</t>
  </si>
  <si>
    <t>2 hrs/ 2 months</t>
  </si>
  <si>
    <t>Total</t>
  </si>
  <si>
    <t>Estimated Administrative Time - GHG Reporting</t>
  </si>
  <si>
    <t>Estimated Administrative Cost - GHG Reporting</t>
  </si>
  <si>
    <t>Data Collection</t>
  </si>
  <si>
    <t>Prepare Annual Report</t>
  </si>
  <si>
    <t>Submission (eGGRT / WEDGE)</t>
  </si>
  <si>
    <t>Labor Hours</t>
  </si>
  <si>
    <t>Total Annual Cost</t>
  </si>
  <si>
    <t>Sub-categories of Total Annual Costs</t>
  </si>
  <si>
    <t>LDC Facility</t>
  </si>
  <si>
    <t>Metering &amp; Regulating Survey</t>
  </si>
  <si>
    <t>hr/year</t>
  </si>
  <si>
    <t>Data Collection - Analyst</t>
  </si>
  <si>
    <t>hrs</t>
  </si>
  <si>
    <t>$/hr</t>
  </si>
  <si>
    <t>Not Applicable</t>
  </si>
  <si>
    <t>Mains &amp; Services Survey</t>
  </si>
  <si>
    <t>--</t>
  </si>
  <si>
    <t>Prepare Annual Report - Analyst</t>
  </si>
  <si>
    <t>Gate Station Leak Surveys</t>
  </si>
  <si>
    <t>Submit Annual Report - Analyst</t>
  </si>
  <si>
    <t>Combustion Units</t>
  </si>
  <si>
    <t>LDC Supplier</t>
  </si>
  <si>
    <t>Received Gas</t>
  </si>
  <si>
    <t>Large Customer Metering</t>
  </si>
  <si>
    <t>Tacoma LNG Disposition</t>
  </si>
  <si>
    <t>TOTE Deliveries</t>
  </si>
  <si>
    <t>RNG Deliveries, RTC Retirements</t>
  </si>
  <si>
    <t>Deliveries by Customer Class</t>
  </si>
  <si>
    <t>Encogen</t>
  </si>
  <si>
    <t>Compile plant level date (CEMS, fuel, generation and service)</t>
  </si>
  <si>
    <t>Ferndale</t>
  </si>
  <si>
    <t>Frederickson</t>
  </si>
  <si>
    <t>Compile plant level date (fuel, generation and service)</t>
  </si>
  <si>
    <t>Fredonia</t>
  </si>
  <si>
    <t>Goldendale</t>
  </si>
  <si>
    <t>Mint Farm</t>
  </si>
  <si>
    <t>Sumas</t>
  </si>
  <si>
    <t>Whitehorn</t>
  </si>
  <si>
    <t>OH Rate</t>
  </si>
  <si>
    <t>Yearly Hours</t>
  </si>
  <si>
    <t>Director Level Employee</t>
  </si>
  <si>
    <t>Mid-Point</t>
  </si>
  <si>
    <t>Hourly</t>
  </si>
  <si>
    <t>Grade 15 Mid Salary:</t>
  </si>
  <si>
    <t>Grade 14 Mid Salary:</t>
  </si>
  <si>
    <t>Median:</t>
  </si>
  <si>
    <r>
      <t>Broad Band Min/Max</t>
    </r>
    <r>
      <rPr>
        <sz val="12"/>
        <color rgb="FF000000"/>
        <rFont val="Arial"/>
        <family val="2"/>
      </rPr>
      <t>​</t>
    </r>
  </si>
  <si>
    <t>Manager Level Employee</t>
  </si>
  <si>
    <r>
      <t> </t>
    </r>
    <r>
      <rPr>
        <b/>
        <i/>
        <sz val="12"/>
        <color rgb="FF595959"/>
        <rFont val="Arial"/>
        <family val="2"/>
      </rPr>
      <t>For non-IT supervisors and managers</t>
    </r>
  </si>
  <si>
    <t>Grade 13 Mid Salary</t>
  </si>
  <si>
    <t>Grade 12 Mid Salary:</t>
  </si>
  <si>
    <r>
      <t>​</t>
    </r>
    <r>
      <rPr>
        <b/>
        <sz val="12"/>
        <color rgb="FF000000"/>
        <rFont val="Arial"/>
        <family val="2"/>
      </rPr>
      <t>Supervisor</t>
    </r>
  </si>
  <si>
    <t>Grade 11 Mid Salary:</t>
  </si>
  <si>
    <t>​Manager</t>
  </si>
  <si>
    <t>Analyst:</t>
  </si>
  <si>
    <t>Supervisor</t>
  </si>
  <si>
    <t>Grade 10 Mid Salary:</t>
  </si>
  <si>
    <t>Manger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</si>
</sst>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F400]h:mm:ss\ AM/PM"/>
    <numFmt numFmtId="166" formatCode="&quot;$&quot;#,##0.00"/>
    <numFmt numFmtId="167" formatCode="&quot;$&quot;#,##0"/>
  </numFmts>
  <fonts count="2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595959"/>
      <name val="Arial"/>
      <family val="2"/>
    </font>
    <font>
      <b/>
      <i/>
      <sz val="12"/>
      <color rgb="FF595959"/>
      <name val="Arial"/>
      <family val="2"/>
    </font>
    <font>
      <i/>
      <sz val="14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4" fillId="3" borderId="0" xfId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Alignment="1">
      <alignment horizontal="left" vertical="center"/>
    </xf>
    <xf numFmtId="0" fontId="4" fillId="0" borderId="2" xfId="1" applyBorder="1" applyAlignment="1">
      <alignment vertical="center"/>
    </xf>
    <xf numFmtId="0" fontId="4" fillId="0" borderId="3" xfId="1" applyBorder="1" applyAlignment="1">
      <alignment vertical="center"/>
    </xf>
    <xf numFmtId="0" fontId="4" fillId="0" borderId="4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4" fillId="0" borderId="5" xfId="1" applyBorder="1" applyAlignment="1">
      <alignment vertical="center"/>
    </xf>
    <xf numFmtId="0" fontId="4" fillId="0" borderId="6" xfId="1" applyBorder="1" applyAlignment="1">
      <alignment vertical="center"/>
    </xf>
    <xf numFmtId="0" fontId="6" fillId="0" borderId="6" xfId="1" applyFont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7" fillId="0" borderId="10" xfId="1" applyFont="1" applyBorder="1" applyAlignment="1">
      <alignment horizontal="left" vertical="center"/>
    </xf>
    <xf numFmtId="0" fontId="4" fillId="0" borderId="11" xfId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3" xfId="1" quotePrefix="1" applyBorder="1" applyAlignment="1">
      <alignment horizontal="right" vertical="center"/>
    </xf>
    <xf numFmtId="0" fontId="4" fillId="0" borderId="4" xfId="1" applyBorder="1" applyAlignment="1">
      <alignment horizontal="left" vertical="center"/>
    </xf>
    <xf numFmtId="0" fontId="4" fillId="0" borderId="6" xfId="1" quotePrefix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4" fillId="0" borderId="0" xfId="1" quotePrefix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4" fillId="0" borderId="10" xfId="1" applyBorder="1" applyAlignment="1">
      <alignment vertical="center"/>
    </xf>
    <xf numFmtId="0" fontId="4" fillId="0" borderId="3" xfId="1" applyBorder="1" applyAlignment="1">
      <alignment horizontal="left" vertical="center"/>
    </xf>
    <xf numFmtId="0" fontId="6" fillId="0" borderId="12" xfId="1" applyFont="1" applyBorder="1" applyAlignment="1">
      <alignment vertical="center"/>
    </xf>
    <xf numFmtId="2" fontId="4" fillId="4" borderId="4" xfId="1" applyNumberFormat="1" applyFill="1" applyBorder="1" applyAlignment="1">
      <alignment vertical="center"/>
    </xf>
    <xf numFmtId="0" fontId="4" fillId="0" borderId="6" xfId="1" applyBorder="1" applyAlignment="1">
      <alignment horizontal="left" vertical="center"/>
    </xf>
    <xf numFmtId="0" fontId="6" fillId="0" borderId="13" xfId="1" applyFont="1" applyBorder="1" applyAlignment="1">
      <alignment vertical="center"/>
    </xf>
    <xf numFmtId="44" fontId="4" fillId="0" borderId="0" xfId="1" applyNumberFormat="1" applyAlignment="1">
      <alignment vertical="center"/>
    </xf>
    <xf numFmtId="2" fontId="4" fillId="4" borderId="0" xfId="1" applyNumberFormat="1" applyFill="1" applyAlignment="1">
      <alignment vertical="center"/>
    </xf>
    <xf numFmtId="0" fontId="4" fillId="0" borderId="6" xfId="1" quotePrefix="1" applyBorder="1" applyAlignment="1">
      <alignment vertical="center"/>
    </xf>
    <xf numFmtId="44" fontId="4" fillId="2" borderId="1" xfId="1" applyNumberFormat="1" applyFill="1" applyBorder="1"/>
    <xf numFmtId="0" fontId="4" fillId="2" borderId="1" xfId="1" applyFill="1" applyBorder="1"/>
    <xf numFmtId="0" fontId="4" fillId="0" borderId="10" xfId="1" applyBorder="1" applyAlignment="1">
      <alignment horizontal="left" indent="1"/>
    </xf>
    <xf numFmtId="0" fontId="6" fillId="0" borderId="14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/>
    <xf numFmtId="0" fontId="4" fillId="0" borderId="9" xfId="1" applyBorder="1" applyAlignment="1">
      <alignment horizontal="right" vertical="center"/>
    </xf>
    <xf numFmtId="0" fontId="4" fillId="0" borderId="11" xfId="1" applyBorder="1" applyAlignment="1">
      <alignment horizontal="right" vertical="center"/>
    </xf>
    <xf numFmtId="0" fontId="4" fillId="0" borderId="0" xfId="1" applyAlignment="1">
      <alignment horizontal="right" vertical="center"/>
    </xf>
    <xf numFmtId="164" fontId="0" fillId="0" borderId="1" xfId="0" applyNumberForma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4" fillId="0" borderId="0" xfId="1"/>
    <xf numFmtId="44" fontId="4" fillId="0" borderId="0" xfId="1" applyNumberFormat="1"/>
    <xf numFmtId="0" fontId="4" fillId="0" borderId="0" xfId="1" applyAlignment="1">
      <alignment horizontal="right"/>
    </xf>
    <xf numFmtId="0" fontId="9" fillId="0" borderId="0" xfId="1" applyFont="1"/>
    <xf numFmtId="0" fontId="5" fillId="0" borderId="0" xfId="1" applyFont="1"/>
    <xf numFmtId="44" fontId="4" fillId="0" borderId="15" xfId="1" applyNumberFormat="1" applyBorder="1"/>
    <xf numFmtId="164" fontId="0" fillId="0" borderId="0" xfId="2" applyNumberFormat="1" applyFont="1"/>
    <xf numFmtId="164" fontId="0" fillId="0" borderId="0" xfId="2" applyNumberFormat="1" applyFont="1" applyAlignment="1">
      <alignment horizontal="right"/>
    </xf>
    <xf numFmtId="0" fontId="4" fillId="0" borderId="6" xfId="1" applyBorder="1"/>
    <xf numFmtId="0" fontId="4" fillId="0" borderId="16" xfId="1" applyBorder="1"/>
    <xf numFmtId="17" fontId="4" fillId="0" borderId="17" xfId="1" applyNumberFormat="1" applyBorder="1"/>
    <xf numFmtId="0" fontId="10" fillId="0" borderId="0" xfId="1" applyFont="1" applyAlignment="1">
      <alignment horizontal="left"/>
    </xf>
    <xf numFmtId="165" fontId="11" fillId="0" borderId="0" xfId="1" applyNumberFormat="1" applyFont="1" applyAlignment="1">
      <alignment horizontal="left"/>
    </xf>
    <xf numFmtId="166" fontId="12" fillId="0" borderId="1" xfId="1" applyNumberFormat="1" applyFont="1" applyBorder="1" applyAlignment="1">
      <alignment horizontal="left"/>
    </xf>
    <xf numFmtId="166" fontId="13" fillId="0" borderId="1" xfId="1" applyNumberFormat="1" applyFont="1" applyBorder="1" applyAlignment="1">
      <alignment horizontal="left"/>
    </xf>
    <xf numFmtId="166" fontId="10" fillId="0" borderId="1" xfId="1" applyNumberFormat="1" applyFont="1" applyBorder="1" applyAlignment="1">
      <alignment horizontal="left"/>
    </xf>
    <xf numFmtId="166" fontId="12" fillId="0" borderId="0" xfId="1" applyNumberFormat="1" applyFont="1" applyAlignment="1">
      <alignment horizontal="left"/>
    </xf>
    <xf numFmtId="166" fontId="10" fillId="0" borderId="0" xfId="1" applyNumberFormat="1" applyFont="1" applyAlignment="1">
      <alignment horizontal="left"/>
    </xf>
    <xf numFmtId="0" fontId="14" fillId="0" borderId="0" xfId="1" applyFont="1" applyAlignment="1">
      <alignment horizontal="left"/>
    </xf>
    <xf numFmtId="166" fontId="16" fillId="0" borderId="1" xfId="1" applyNumberFormat="1" applyFont="1" applyBorder="1" applyAlignment="1">
      <alignment horizontal="left"/>
    </xf>
    <xf numFmtId="0" fontId="12" fillId="0" borderId="0" xfId="1" applyFont="1" applyAlignment="1">
      <alignment horizontal="left"/>
    </xf>
    <xf numFmtId="166" fontId="13" fillId="5" borderId="1" xfId="1" applyNumberFormat="1" applyFont="1" applyFill="1" applyBorder="1" applyAlignment="1">
      <alignment horizontal="left" vertical="center"/>
    </xf>
    <xf numFmtId="0" fontId="10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/>
      <protection locked="0"/>
    </xf>
    <xf numFmtId="0" fontId="20" fillId="0" borderId="0" xfId="1" applyFont="1" applyAlignment="1">
      <alignment horizontal="left"/>
    </xf>
    <xf numFmtId="166" fontId="21" fillId="0" borderId="0" xfId="1" applyNumberFormat="1" applyFont="1" applyAlignment="1">
      <alignment horizontal="left"/>
    </xf>
    <xf numFmtId="166" fontId="13" fillId="0" borderId="0" xfId="1" applyNumberFormat="1" applyFont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4" fontId="0" fillId="0" borderId="0" xfId="0" applyNumberForma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/>
    <xf numFmtId="1" fontId="4" fillId="0" borderId="0" xfId="1" applyNumberFormat="1"/>
    <xf numFmtId="164" fontId="4" fillId="0" borderId="0" xfId="1" applyNumberFormat="1"/>
    <xf numFmtId="164" fontId="4" fillId="0" borderId="15" xfId="1" applyNumberFormat="1" applyBorder="1"/>
    <xf numFmtId="1" fontId="0" fillId="0" borderId="0" xfId="2" applyNumberFormat="1" applyFont="1"/>
    <xf numFmtId="167" fontId="13" fillId="5" borderId="18" xfId="1" applyNumberFormat="1" applyFont="1" applyFill="1" applyBorder="1" applyAlignment="1">
      <alignment horizontal="left" vertical="center"/>
    </xf>
    <xf numFmtId="167" fontId="10" fillId="0" borderId="0" xfId="1" applyNumberFormat="1" applyFont="1" applyAlignment="1">
      <alignment horizontal="left"/>
    </xf>
    <xf numFmtId="167" fontId="12" fillId="0" borderId="0" xfId="1" applyNumberFormat="1" applyFont="1" applyAlignment="1">
      <alignment horizontal="left"/>
    </xf>
    <xf numFmtId="167" fontId="15" fillId="0" borderId="0" xfId="1" applyNumberFormat="1" applyFont="1" applyAlignment="1">
      <alignment horizontal="left"/>
    </xf>
    <xf numFmtId="164" fontId="0" fillId="0" borderId="5" xfId="2" applyNumberFormat="1" applyFont="1" applyBorder="1" applyAlignment="1">
      <alignment vertical="center"/>
    </xf>
    <xf numFmtId="164" fontId="0" fillId="0" borderId="2" xfId="2" applyNumberFormat="1" applyFont="1" applyBorder="1" applyAlignment="1">
      <alignment vertical="center"/>
    </xf>
    <xf numFmtId="164" fontId="4" fillId="0" borderId="9" xfId="1" applyNumberFormat="1" applyBorder="1" applyAlignment="1">
      <alignment vertical="center"/>
    </xf>
    <xf numFmtId="164" fontId="0" fillId="0" borderId="1" xfId="0" applyNumberFormat="1" applyBorder="1"/>
    <xf numFmtId="0" fontId="1" fillId="0" borderId="1" xfId="0" applyFont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1" applyAlignment="1">
      <alignment horizontal="center" vertical="center"/>
    </xf>
    <xf numFmtId="0" fontId="13" fillId="5" borderId="23" xfId="1" applyFont="1" applyFill="1" applyBorder="1" applyAlignment="1">
      <alignment horizontal="left" vertical="center"/>
    </xf>
    <xf numFmtId="0" fontId="13" fillId="5" borderId="22" xfId="1" applyFont="1" applyFill="1" applyBorder="1" applyAlignment="1">
      <alignment horizontal="left" vertical="center"/>
    </xf>
    <xf numFmtId="0" fontId="13" fillId="5" borderId="21" xfId="1" applyFont="1" applyFill="1" applyBorder="1" applyAlignment="1">
      <alignment horizontal="left" vertical="center"/>
    </xf>
    <xf numFmtId="0" fontId="13" fillId="5" borderId="20" xfId="1" applyFont="1" applyFill="1" applyBorder="1" applyAlignment="1">
      <alignment horizontal="left" vertical="center"/>
    </xf>
    <xf numFmtId="0" fontId="13" fillId="5" borderId="19" xfId="1" applyFont="1" applyFill="1" applyBorder="1" applyAlignment="1">
      <alignment horizontal="left" vertical="center"/>
    </xf>
    <xf numFmtId="0" fontId="17" fillId="5" borderId="20" xfId="1" applyFont="1" applyFill="1" applyBorder="1" applyAlignment="1">
      <alignment horizontal="left" vertical="center"/>
    </xf>
    <xf numFmtId="0" fontId="17" fillId="5" borderId="19" xfId="1" applyFont="1" applyFill="1" applyBorder="1" applyAlignment="1">
      <alignment horizontal="left" vertical="center"/>
    </xf>
    <xf numFmtId="0" fontId="17" fillId="5" borderId="27" xfId="1" applyFont="1" applyFill="1" applyBorder="1" applyAlignment="1">
      <alignment horizontal="left" vertical="center"/>
    </xf>
    <xf numFmtId="0" fontId="17" fillId="5" borderId="26" xfId="1" applyFont="1" applyFill="1" applyBorder="1" applyAlignment="1">
      <alignment horizontal="left" vertical="center"/>
    </xf>
    <xf numFmtId="0" fontId="17" fillId="5" borderId="25" xfId="1" applyFont="1" applyFill="1" applyBorder="1" applyAlignment="1">
      <alignment horizontal="left" vertical="center"/>
    </xf>
    <xf numFmtId="0" fontId="18" fillId="5" borderId="6" xfId="1" applyFont="1" applyFill="1" applyBorder="1" applyAlignment="1">
      <alignment horizontal="left" vertical="center"/>
    </xf>
    <xf numFmtId="0" fontId="18" fillId="5" borderId="0" xfId="1" applyFont="1" applyFill="1" applyAlignment="1">
      <alignment horizontal="left" vertical="center"/>
    </xf>
    <xf numFmtId="0" fontId="18" fillId="5" borderId="24" xfId="1" applyFont="1" applyFill="1" applyBorder="1" applyAlignment="1">
      <alignment horizontal="left" vertical="center"/>
    </xf>
  </cellXfs>
  <cellStyles count="3">
    <cellStyle name="Currency 2" xfId="2" xr:uid="{4B45B03A-CF1F-488C-BC49-8BBB4A445022}"/>
    <cellStyle name="Normal" xfId="0" builtinId="0"/>
    <cellStyle name="Normal 2" xfId="1" xr:uid="{8702E73A-4F96-4AE3-90BA-F845A9AE6C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600075</xdr:colOff>
      <xdr:row>0</xdr:row>
      <xdr:rowOff>76200</xdr:rowOff>
    </xdr:from>
    <xdr:ext cx="5062839" cy="4699048"/>
    <xdr:pic>
      <xdr:nvPicPr>
        <xdr:cNvPr id="2" name="Picture 1">
          <a:extLst>
            <a:ext uri="{FF2B5EF4-FFF2-40B4-BE49-F238E27FC236}">
              <a16:creationId xmlns:a16="http://schemas.microsoft.com/office/drawing/2014/main" id="{9DDE185B-BB4F-4F22-8831-E3C50B766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5420" y="76200"/>
          <a:ext cx="5062839" cy="46990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600075</xdr:colOff>
      <xdr:row>0</xdr:row>
      <xdr:rowOff>76200</xdr:rowOff>
    </xdr:from>
    <xdr:ext cx="5059029" cy="4719580"/>
    <xdr:pic>
      <xdr:nvPicPr>
        <xdr:cNvPr id="2" name="Picture 1">
          <a:extLst>
            <a:ext uri="{FF2B5EF4-FFF2-40B4-BE49-F238E27FC236}">
              <a16:creationId xmlns:a16="http://schemas.microsoft.com/office/drawing/2014/main" id="{A27A52F9-7F3C-4478-BBE1-E51BA7467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5420" y="76200"/>
          <a:ext cx="5059029" cy="47195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600075</xdr:colOff>
      <xdr:row>0</xdr:row>
      <xdr:rowOff>76200</xdr:rowOff>
    </xdr:from>
    <xdr:ext cx="5062839" cy="4699048"/>
    <xdr:pic>
      <xdr:nvPicPr>
        <xdr:cNvPr id="2" name="Picture 1">
          <a:extLst>
            <a:ext uri="{FF2B5EF4-FFF2-40B4-BE49-F238E27FC236}">
              <a16:creationId xmlns:a16="http://schemas.microsoft.com/office/drawing/2014/main" id="{B55FF7BA-7744-4A98-88DF-31DA84563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5420" y="76200"/>
          <a:ext cx="5062839" cy="469904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600075</xdr:colOff>
      <xdr:row>0</xdr:row>
      <xdr:rowOff>76200</xdr:rowOff>
    </xdr:from>
    <xdr:ext cx="5062839" cy="4699048"/>
    <xdr:pic>
      <xdr:nvPicPr>
        <xdr:cNvPr id="2" name="Picture 1">
          <a:extLst>
            <a:ext uri="{FF2B5EF4-FFF2-40B4-BE49-F238E27FC236}">
              <a16:creationId xmlns:a16="http://schemas.microsoft.com/office/drawing/2014/main" id="{DFFED819-3DBF-40D5-A79C-937D622FD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5420" y="76200"/>
          <a:ext cx="5062839" cy="46990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938B7-FEB8-4DF3-8AA0-FC4AF4FCD62E}">
  <dimension ref="A1:G17"/>
  <sheetViews>
    <sheetView tabSelected="1" zoomScaleNormal="100" workbookViewId="0">
      <selection activeCell="F17" sqref="F17"/>
    </sheetView>
  </sheetViews>
  <sheetFormatPr defaultColWidth="8.7265625" defaultRowHeight="14.5" x14ac:dyDescent="0.35"/>
  <cols>
    <col min="1" max="1" width="21.08984375" style="75" customWidth="1"/>
    <col min="2" max="2" width="8.6328125" bestFit="1" customWidth="1"/>
    <col min="3" max="6" width="9.6328125" bestFit="1" customWidth="1"/>
    <col min="7" max="7" width="11.1796875" bestFit="1" customWidth="1"/>
    <col min="8" max="8" width="24.7265625" customWidth="1"/>
  </cols>
  <sheetData>
    <row r="1" spans="1:7" x14ac:dyDescent="0.35">
      <c r="A1" s="76" t="s">
        <v>0</v>
      </c>
    </row>
    <row r="2" spans="1:7" x14ac:dyDescent="0.35">
      <c r="A2" s="82" t="s">
        <v>1</v>
      </c>
    </row>
    <row r="3" spans="1:7" x14ac:dyDescent="0.35">
      <c r="A3" s="74"/>
      <c r="B3" s="1">
        <v>2022</v>
      </c>
      <c r="C3" s="1">
        <v>2023</v>
      </c>
      <c r="D3" s="1">
        <v>2024</v>
      </c>
      <c r="E3" s="1">
        <v>2025</v>
      </c>
      <c r="F3" s="1">
        <v>2026</v>
      </c>
      <c r="G3" s="1" t="s">
        <v>2</v>
      </c>
    </row>
    <row r="4" spans="1:7" x14ac:dyDescent="0.35">
      <c r="A4" s="77" t="s">
        <v>3</v>
      </c>
      <c r="B4" s="94">
        <f>SUM(B5:B8)</f>
        <v>24687</v>
      </c>
      <c r="C4" s="94">
        <f t="shared" ref="C4:G4" si="0">SUM(C5:C8)</f>
        <v>211389.07609615388</v>
      </c>
      <c r="D4" s="94">
        <f t="shared" si="0"/>
        <v>251979.59316730767</v>
      </c>
      <c r="E4" s="94">
        <f t="shared" si="0"/>
        <v>261467.52903846151</v>
      </c>
      <c r="F4" s="94">
        <f t="shared" si="0"/>
        <v>271177.61490961543</v>
      </c>
      <c r="G4" s="94">
        <f t="shared" si="0"/>
        <v>1020700.8132115385</v>
      </c>
    </row>
    <row r="5" spans="1:7" x14ac:dyDescent="0.35">
      <c r="A5" s="75" t="s">
        <v>4</v>
      </c>
      <c r="B5" s="45">
        <v>0</v>
      </c>
      <c r="C5" s="45">
        <f>'ESM ADMIN COSTS 2023'!$D$36</f>
        <v>90794.64</v>
      </c>
      <c r="D5" s="45">
        <f>'ESM ADMIN COSTS 2024'!$D$35</f>
        <v>123040.60059999998</v>
      </c>
      <c r="E5" s="45">
        <f>'ESM ADMIN COSTS 2025'!$D$35</f>
        <v>126845.98</v>
      </c>
      <c r="F5" s="45">
        <f>'ESM ADMIN COSTS 2026'!$D$35</f>
        <v>130651.35940000003</v>
      </c>
      <c r="G5" s="46">
        <f>SUM(B5:F5)</f>
        <v>471332.57999999996</v>
      </c>
    </row>
    <row r="6" spans="1:7" ht="116" x14ac:dyDescent="0.35">
      <c r="A6" s="74" t="s">
        <v>5</v>
      </c>
      <c r="B6" s="45">
        <f>'ESM ADMIN COSTS 2023'!$D$35</f>
        <v>24687</v>
      </c>
      <c r="C6" s="45">
        <v>0</v>
      </c>
      <c r="D6" s="45">
        <v>0</v>
      </c>
      <c r="E6" s="45">
        <v>0</v>
      </c>
      <c r="F6" s="45">
        <v>0</v>
      </c>
      <c r="G6" s="46">
        <f>SUM(B6:F6)</f>
        <v>24687</v>
      </c>
    </row>
    <row r="7" spans="1:7" ht="29" x14ac:dyDescent="0.35">
      <c r="A7" s="75" t="s">
        <v>6</v>
      </c>
      <c r="B7" s="45">
        <v>0</v>
      </c>
      <c r="C7" s="45">
        <v>81755</v>
      </c>
      <c r="D7" s="45">
        <f>'ESM ADMIN COSTS 2025'!$D$36</f>
        <v>88860</v>
      </c>
      <c r="E7" s="45">
        <f>'ESM ADMIN COSTS 2026'!$D$36</f>
        <v>93303</v>
      </c>
      <c r="F7" s="45">
        <f>E7*1.05</f>
        <v>97968.150000000009</v>
      </c>
      <c r="G7" s="46">
        <f>SUM(B7:F7)</f>
        <v>361886.15</v>
      </c>
    </row>
    <row r="8" spans="1:7" ht="72.5" x14ac:dyDescent="0.35">
      <c r="A8" s="74" t="s">
        <v>7</v>
      </c>
      <c r="B8" s="45">
        <v>0</v>
      </c>
      <c r="C8" s="45">
        <f>'FacilityRpts_Admin_Hours+Cost'!W$4</f>
        <v>38839.436096153848</v>
      </c>
      <c r="D8" s="45">
        <f>'FacilityRpts_Admin_Hours+Cost'!X$4</f>
        <v>40078.992567307694</v>
      </c>
      <c r="E8" s="45">
        <f>'FacilityRpts_Admin_Hours+Cost'!Y$4</f>
        <v>41318.54903846154</v>
      </c>
      <c r="F8" s="45">
        <f>'FacilityRpts_Admin_Hours+Cost'!Z$4</f>
        <v>42558.105509615387</v>
      </c>
      <c r="G8" s="46">
        <f>SUM(C8:F8)</f>
        <v>162795.08321153847</v>
      </c>
    </row>
    <row r="9" spans="1:7" x14ac:dyDescent="0.35">
      <c r="A9" s="74"/>
      <c r="B9" s="95" t="s">
        <v>8</v>
      </c>
      <c r="C9" s="95"/>
      <c r="D9" s="95"/>
      <c r="E9" s="95"/>
      <c r="F9" s="95"/>
      <c r="G9" s="95"/>
    </row>
    <row r="10" spans="1:7" ht="45" customHeight="1" x14ac:dyDescent="0.35">
      <c r="A10" s="77" t="s">
        <v>9</v>
      </c>
      <c r="B10" s="96" t="s">
        <v>10</v>
      </c>
      <c r="C10" s="97"/>
      <c r="D10" s="97"/>
      <c r="E10" s="97"/>
      <c r="F10" s="97"/>
      <c r="G10" s="97"/>
    </row>
    <row r="11" spans="1:7" x14ac:dyDescent="0.35">
      <c r="B11" s="80"/>
      <c r="C11" s="80"/>
      <c r="D11" s="80"/>
      <c r="E11" s="80"/>
      <c r="F11" s="80"/>
      <c r="G11" s="81"/>
    </row>
    <row r="13" spans="1:7" x14ac:dyDescent="0.35">
      <c r="A13" s="78" t="s">
        <v>11</v>
      </c>
    </row>
    <row r="14" spans="1:7" x14ac:dyDescent="0.35">
      <c r="A14" s="79" t="s">
        <v>12</v>
      </c>
    </row>
    <row r="15" spans="1:7" x14ac:dyDescent="0.35">
      <c r="A15" s="78" t="s">
        <v>13</v>
      </c>
    </row>
    <row r="16" spans="1:7" x14ac:dyDescent="0.35">
      <c r="A16" s="78"/>
    </row>
    <row r="17" spans="1:1" x14ac:dyDescent="0.35">
      <c r="A17" s="78" t="s">
        <v>14</v>
      </c>
    </row>
  </sheetData>
  <mergeCells count="2"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29184-8F88-4BFC-8A4D-AAA847ACF995}">
  <sheetPr>
    <tabColor rgb="FFFFC00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68B9-615D-4B46-A218-2F775190AF77}">
  <dimension ref="A1:E36"/>
  <sheetViews>
    <sheetView workbookViewId="0">
      <selection activeCell="D46" sqref="D46"/>
    </sheetView>
  </sheetViews>
  <sheetFormatPr defaultColWidth="8.81640625" defaultRowHeight="16" x14ac:dyDescent="0.4"/>
  <cols>
    <col min="1" max="1" width="54.453125" style="47" customWidth="1"/>
    <col min="2" max="2" width="18" style="47" customWidth="1"/>
    <col min="3" max="3" width="6.7265625" style="47" customWidth="1"/>
    <col min="4" max="4" width="12.81640625" style="47" bestFit="1" customWidth="1"/>
    <col min="5" max="5" width="12.26953125" style="47" customWidth="1"/>
    <col min="6" max="16384" width="8.81640625" style="47"/>
  </cols>
  <sheetData>
    <row r="1" spans="1:5" x14ac:dyDescent="0.4">
      <c r="A1" s="51" t="s">
        <v>15</v>
      </c>
    </row>
    <row r="3" spans="1:5" x14ac:dyDescent="0.4">
      <c r="B3" s="47" t="s">
        <v>16</v>
      </c>
      <c r="C3" s="47" t="s">
        <v>17</v>
      </c>
      <c r="D3" s="47" t="s">
        <v>18</v>
      </c>
      <c r="E3" s="47" t="s">
        <v>19</v>
      </c>
    </row>
    <row r="4" spans="1:5" x14ac:dyDescent="0.4">
      <c r="A4" s="50" t="s">
        <v>20</v>
      </c>
    </row>
    <row r="5" spans="1:5" x14ac:dyDescent="0.4">
      <c r="A5" s="47" t="s">
        <v>21</v>
      </c>
      <c r="B5" s="47" t="s">
        <v>22</v>
      </c>
      <c r="C5" s="83">
        <v>89.82</v>
      </c>
      <c r="D5" s="53">
        <f>100*C5</f>
        <v>8982</v>
      </c>
    </row>
    <row r="6" spans="1:5" x14ac:dyDescent="0.4">
      <c r="A6" s="47" t="s">
        <v>21</v>
      </c>
      <c r="B6" s="47" t="s">
        <v>22</v>
      </c>
      <c r="C6" s="83">
        <v>157.05000000000001</v>
      </c>
      <c r="D6" s="53">
        <f>100*C6</f>
        <v>15705.000000000002</v>
      </c>
    </row>
    <row r="7" spans="1:5" x14ac:dyDescent="0.4">
      <c r="A7" s="47" t="s">
        <v>23</v>
      </c>
      <c r="B7" s="47" t="s">
        <v>24</v>
      </c>
      <c r="C7" s="83">
        <v>89.82</v>
      </c>
      <c r="D7" s="53">
        <f>40*C7</f>
        <v>3592.7999999999997</v>
      </c>
    </row>
    <row r="8" spans="1:5" x14ac:dyDescent="0.4">
      <c r="A8" s="47" t="s">
        <v>23</v>
      </c>
      <c r="B8" s="47" t="s">
        <v>24</v>
      </c>
      <c r="C8" s="83">
        <v>157.05000000000001</v>
      </c>
      <c r="D8" s="53">
        <f>40*C8</f>
        <v>6282</v>
      </c>
    </row>
    <row r="9" spans="1:5" x14ac:dyDescent="0.4">
      <c r="A9" s="47" t="s">
        <v>25</v>
      </c>
      <c r="B9" s="47" t="s">
        <v>26</v>
      </c>
      <c r="C9" s="83">
        <v>157.05000000000001</v>
      </c>
      <c r="D9" s="53">
        <f>4*C9</f>
        <v>628.20000000000005</v>
      </c>
    </row>
    <row r="10" spans="1:5" x14ac:dyDescent="0.4">
      <c r="A10" s="47" t="s">
        <v>25</v>
      </c>
      <c r="B10" s="47" t="s">
        <v>26</v>
      </c>
      <c r="C10" s="83">
        <v>89.82</v>
      </c>
      <c r="D10" s="53">
        <f>4*C10</f>
        <v>359.28</v>
      </c>
    </row>
    <row r="11" spans="1:5" x14ac:dyDescent="0.4">
      <c r="C11" s="83"/>
      <c r="D11" s="53"/>
    </row>
    <row r="12" spans="1:5" x14ac:dyDescent="0.4">
      <c r="A12" s="50" t="s">
        <v>27</v>
      </c>
      <c r="C12" s="83"/>
      <c r="D12" s="53"/>
    </row>
    <row r="13" spans="1:5" x14ac:dyDescent="0.4">
      <c r="A13" s="47" t="s">
        <v>28</v>
      </c>
      <c r="B13" s="47" t="s">
        <v>29</v>
      </c>
      <c r="C13" s="83">
        <v>89.82</v>
      </c>
      <c r="D13" s="53">
        <f>5*C13</f>
        <v>449.09999999999997</v>
      </c>
    </row>
    <row r="14" spans="1:5" x14ac:dyDescent="0.4">
      <c r="A14" s="47" t="s">
        <v>30</v>
      </c>
      <c r="B14" s="47" t="s">
        <v>31</v>
      </c>
      <c r="C14" s="83">
        <v>89.82</v>
      </c>
      <c r="D14" s="53">
        <f>30*C14</f>
        <v>2694.6</v>
      </c>
    </row>
    <row r="15" spans="1:5" x14ac:dyDescent="0.4">
      <c r="A15" s="47" t="s">
        <v>32</v>
      </c>
      <c r="B15" s="47" t="s">
        <v>33</v>
      </c>
      <c r="C15" s="83">
        <v>89.82</v>
      </c>
      <c r="D15" s="53">
        <f>C15*200</f>
        <v>17964</v>
      </c>
    </row>
    <row r="16" spans="1:5" x14ac:dyDescent="0.4">
      <c r="A16" s="47" t="s">
        <v>34</v>
      </c>
      <c r="B16" s="47" t="s">
        <v>35</v>
      </c>
      <c r="C16" s="83">
        <v>136.6</v>
      </c>
      <c r="D16" s="53">
        <f>48*2*C16</f>
        <v>13113.599999999999</v>
      </c>
    </row>
    <row r="17" spans="1:4" x14ac:dyDescent="0.4">
      <c r="A17" s="47" t="s">
        <v>34</v>
      </c>
      <c r="B17" s="47" t="s">
        <v>36</v>
      </c>
      <c r="C17" s="83">
        <v>157.05000000000001</v>
      </c>
      <c r="D17" s="53">
        <f>24*C17</f>
        <v>3769.2000000000003</v>
      </c>
    </row>
    <row r="18" spans="1:4" x14ac:dyDescent="0.4">
      <c r="A18" s="47" t="s">
        <v>34</v>
      </c>
      <c r="B18" s="47" t="s">
        <v>36</v>
      </c>
      <c r="C18" s="83">
        <v>103.14</v>
      </c>
      <c r="D18" s="53">
        <f>24*C18</f>
        <v>2475.36</v>
      </c>
    </row>
    <row r="19" spans="1:4" x14ac:dyDescent="0.4">
      <c r="C19" s="83"/>
      <c r="D19" s="53"/>
    </row>
    <row r="20" spans="1:4" x14ac:dyDescent="0.4">
      <c r="A20" s="50" t="s">
        <v>37</v>
      </c>
      <c r="C20" s="83"/>
      <c r="D20" s="53"/>
    </row>
    <row r="21" spans="1:4" x14ac:dyDescent="0.4">
      <c r="A21" s="47" t="s">
        <v>38</v>
      </c>
      <c r="B21" s="47" t="s">
        <v>24</v>
      </c>
      <c r="C21" s="83">
        <v>89.82</v>
      </c>
      <c r="D21" s="53">
        <f>10*4*C21</f>
        <v>3592.7999999999997</v>
      </c>
    </row>
    <row r="22" spans="1:4" x14ac:dyDescent="0.4">
      <c r="A22" s="47" t="s">
        <v>38</v>
      </c>
      <c r="B22" s="47" t="s">
        <v>24</v>
      </c>
      <c r="C22" s="83">
        <v>157.05000000000001</v>
      </c>
      <c r="D22" s="53">
        <f>10*4*C22</f>
        <v>6282</v>
      </c>
    </row>
    <row r="23" spans="1:4" x14ac:dyDescent="0.4">
      <c r="A23" s="47" t="s">
        <v>38</v>
      </c>
      <c r="B23" s="47" t="s">
        <v>39</v>
      </c>
      <c r="C23" s="83">
        <v>103.14</v>
      </c>
      <c r="D23" s="53">
        <f>5*4*C23</f>
        <v>2062.8000000000002</v>
      </c>
    </row>
    <row r="24" spans="1:4" x14ac:dyDescent="0.4">
      <c r="A24" s="47" t="s">
        <v>40</v>
      </c>
      <c r="B24" s="47" t="s">
        <v>41</v>
      </c>
      <c r="C24" s="83">
        <v>157.05000000000001</v>
      </c>
      <c r="D24" s="53">
        <f>2*C24</f>
        <v>314.10000000000002</v>
      </c>
    </row>
    <row r="25" spans="1:4" x14ac:dyDescent="0.4">
      <c r="C25" s="83"/>
      <c r="D25" s="53"/>
    </row>
    <row r="26" spans="1:4" x14ac:dyDescent="0.4">
      <c r="A26" s="50" t="s">
        <v>42</v>
      </c>
      <c r="C26" s="83"/>
      <c r="D26" s="53"/>
    </row>
    <row r="27" spans="1:4" x14ac:dyDescent="0.4">
      <c r="A27" s="47" t="s">
        <v>43</v>
      </c>
      <c r="B27" s="47" t="s">
        <v>44</v>
      </c>
      <c r="C27" s="83">
        <v>89.82</v>
      </c>
      <c r="D27" s="53">
        <f>10*C27</f>
        <v>898.19999999999993</v>
      </c>
    </row>
    <row r="28" spans="1:4" x14ac:dyDescent="0.4">
      <c r="A28" s="47" t="s">
        <v>45</v>
      </c>
      <c r="B28" s="47" t="s">
        <v>46</v>
      </c>
      <c r="C28" s="83">
        <v>89.82</v>
      </c>
      <c r="D28" s="53">
        <f>30*C28</f>
        <v>2694.6</v>
      </c>
    </row>
    <row r="29" spans="1:4" x14ac:dyDescent="0.4">
      <c r="A29" s="47" t="s">
        <v>47</v>
      </c>
      <c r="B29" s="47" t="s">
        <v>31</v>
      </c>
      <c r="C29" s="83">
        <v>89.82</v>
      </c>
      <c r="D29" s="53">
        <f>30*C29</f>
        <v>2694.6</v>
      </c>
    </row>
    <row r="30" spans="1:4" x14ac:dyDescent="0.4">
      <c r="A30" s="47" t="s">
        <v>48</v>
      </c>
      <c r="B30" s="47" t="s">
        <v>49</v>
      </c>
      <c r="C30" s="83">
        <v>89.82</v>
      </c>
      <c r="D30" s="53">
        <f>40*C30</f>
        <v>3592.7999999999997</v>
      </c>
    </row>
    <row r="31" spans="1:4" x14ac:dyDescent="0.4">
      <c r="A31" s="47" t="s">
        <v>50</v>
      </c>
      <c r="B31" s="47" t="s">
        <v>49</v>
      </c>
      <c r="C31" s="83">
        <v>89.82</v>
      </c>
      <c r="D31" s="53">
        <f>40*C31</f>
        <v>3592.7999999999997</v>
      </c>
    </row>
    <row r="32" spans="1:4" x14ac:dyDescent="0.4">
      <c r="A32" s="47" t="s">
        <v>51</v>
      </c>
      <c r="B32" s="47" t="s">
        <v>35</v>
      </c>
      <c r="C32" s="83">
        <v>136.6</v>
      </c>
      <c r="D32" s="53">
        <f>48*2*C32</f>
        <v>13113.599999999999</v>
      </c>
    </row>
    <row r="33" spans="1:4" x14ac:dyDescent="0.4">
      <c r="A33" s="47" t="s">
        <v>51</v>
      </c>
      <c r="B33" s="47" t="s">
        <v>52</v>
      </c>
      <c r="C33" s="83">
        <v>157.05000000000001</v>
      </c>
      <c r="D33" s="84">
        <f>2*2*C33</f>
        <v>628.20000000000005</v>
      </c>
    </row>
    <row r="34" spans="1:4" x14ac:dyDescent="0.4">
      <c r="D34" s="84"/>
    </row>
    <row r="35" spans="1:4" x14ac:dyDescent="0.4">
      <c r="C35" s="49" t="s">
        <v>53</v>
      </c>
      <c r="D35" s="84">
        <f>SUM(D5:D6)</f>
        <v>24687</v>
      </c>
    </row>
    <row r="36" spans="1:4" x14ac:dyDescent="0.4">
      <c r="C36" s="49" t="s">
        <v>54</v>
      </c>
      <c r="D36" s="84">
        <f>SUM(D7:D33)</f>
        <v>90794.64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D4FC-6649-4939-B979-82F84C2C042C}">
  <dimension ref="A1:E37"/>
  <sheetViews>
    <sheetView zoomScale="90" zoomScaleNormal="90" workbookViewId="0">
      <selection activeCell="A14" sqref="A14"/>
    </sheetView>
  </sheetViews>
  <sheetFormatPr defaultColWidth="8.81640625" defaultRowHeight="16" x14ac:dyDescent="0.4"/>
  <cols>
    <col min="1" max="1" width="54.453125" style="47" customWidth="1"/>
    <col min="2" max="2" width="18" style="47" customWidth="1"/>
    <col min="3" max="3" width="7.54296875" style="47" customWidth="1"/>
    <col min="4" max="4" width="13.81640625" style="47" bestFit="1" customWidth="1"/>
    <col min="5" max="5" width="12.26953125" style="47" customWidth="1"/>
    <col min="6" max="16384" width="8.81640625" style="47"/>
  </cols>
  <sheetData>
    <row r="1" spans="1:5" x14ac:dyDescent="0.4">
      <c r="A1" s="51" t="s">
        <v>55</v>
      </c>
    </row>
    <row r="3" spans="1:5" x14ac:dyDescent="0.4">
      <c r="B3" s="47" t="s">
        <v>16</v>
      </c>
      <c r="C3" s="47" t="s">
        <v>17</v>
      </c>
      <c r="D3" s="47" t="s">
        <v>18</v>
      </c>
      <c r="E3" s="47" t="s">
        <v>19</v>
      </c>
    </row>
    <row r="4" spans="1:5" x14ac:dyDescent="0.4">
      <c r="A4" s="50" t="s">
        <v>56</v>
      </c>
    </row>
    <row r="5" spans="1:5" x14ac:dyDescent="0.4">
      <c r="A5" s="47" t="s">
        <v>57</v>
      </c>
      <c r="B5" s="47" t="s">
        <v>58</v>
      </c>
      <c r="C5" s="83">
        <f>'ESM ADMIN COSTS 2025'!C5*0.97</f>
        <v>107.12679999999999</v>
      </c>
      <c r="D5" s="53">
        <f>20*C5</f>
        <v>2142.5359999999996</v>
      </c>
    </row>
    <row r="6" spans="1:5" x14ac:dyDescent="0.4">
      <c r="A6" s="47" t="s">
        <v>23</v>
      </c>
      <c r="B6" s="47" t="s">
        <v>24</v>
      </c>
      <c r="C6" s="83">
        <f>'ESM ADMIN COSTS 2025'!C6*0.97</f>
        <v>107.12679999999999</v>
      </c>
      <c r="D6" s="53">
        <f>40*C6</f>
        <v>4285.0719999999992</v>
      </c>
    </row>
    <row r="7" spans="1:5" x14ac:dyDescent="0.4">
      <c r="A7" s="47" t="s">
        <v>23</v>
      </c>
      <c r="B7" s="47" t="s">
        <v>24</v>
      </c>
      <c r="C7" s="83">
        <f>'ESM ADMIN COSTS 2025'!C7*0.97</f>
        <v>163.26069999999999</v>
      </c>
      <c r="D7" s="53">
        <f>40*C7</f>
        <v>6530.4279999999999</v>
      </c>
    </row>
    <row r="8" spans="1:5" x14ac:dyDescent="0.4">
      <c r="A8" s="47" t="s">
        <v>25</v>
      </c>
      <c r="B8" s="47" t="s">
        <v>59</v>
      </c>
      <c r="C8" s="83">
        <f>'ESM ADMIN COSTS 2025'!C8*0.97</f>
        <v>163.26069999999999</v>
      </c>
      <c r="D8" s="53">
        <f>40*C8</f>
        <v>6530.4279999999999</v>
      </c>
    </row>
    <row r="9" spans="1:5" x14ac:dyDescent="0.4">
      <c r="A9" s="47" t="s">
        <v>25</v>
      </c>
      <c r="B9" s="47" t="s">
        <v>59</v>
      </c>
      <c r="C9" s="83">
        <f>'ESM ADMIN COSTS 2025'!C9*0.97</f>
        <v>107.12679999999999</v>
      </c>
      <c r="D9" s="53">
        <f>40*C9</f>
        <v>4285.0719999999992</v>
      </c>
    </row>
    <row r="10" spans="1:5" x14ac:dyDescent="0.4">
      <c r="C10" s="83"/>
      <c r="D10" s="53"/>
    </row>
    <row r="11" spans="1:5" x14ac:dyDescent="0.4">
      <c r="A11" s="50" t="s">
        <v>27</v>
      </c>
      <c r="C11" s="83"/>
      <c r="D11" s="53"/>
    </row>
    <row r="12" spans="1:5" x14ac:dyDescent="0.4">
      <c r="A12" s="47" t="s">
        <v>60</v>
      </c>
      <c r="B12" s="47" t="s">
        <v>29</v>
      </c>
      <c r="C12" s="83">
        <f>'ESM ADMIN COSTS 2025'!C12*0.97</f>
        <v>107.12679999999999</v>
      </c>
      <c r="D12" s="53">
        <f>5*C12</f>
        <v>535.6339999999999</v>
      </c>
    </row>
    <row r="13" spans="1:5" x14ac:dyDescent="0.4">
      <c r="A13" s="47" t="s">
        <v>30</v>
      </c>
      <c r="B13" s="47" t="s">
        <v>31</v>
      </c>
      <c r="C13" s="83">
        <f>'ESM ADMIN COSTS 2025'!C13*0.97</f>
        <v>107.12679999999999</v>
      </c>
      <c r="D13" s="53">
        <f>30*C13</f>
        <v>3213.8039999999996</v>
      </c>
    </row>
    <row r="14" spans="1:5" x14ac:dyDescent="0.4">
      <c r="A14" s="47" t="s">
        <v>32</v>
      </c>
      <c r="B14" s="47" t="s">
        <v>33</v>
      </c>
      <c r="C14" s="83">
        <f>'ESM ADMIN COSTS 2025'!C14*0.97</f>
        <v>107.12679999999999</v>
      </c>
      <c r="D14" s="53">
        <f>C14*200</f>
        <v>21425.359999999997</v>
      </c>
    </row>
    <row r="15" spans="1:5" x14ac:dyDescent="0.4">
      <c r="A15" s="47" t="s">
        <v>34</v>
      </c>
      <c r="B15" s="47" t="s">
        <v>35</v>
      </c>
      <c r="C15" s="83">
        <f>'ESM ADMIN COSTS 2025'!C15*0.97</f>
        <v>141.8819</v>
      </c>
      <c r="D15" s="53">
        <f>48*2*C15</f>
        <v>13620.662400000001</v>
      </c>
    </row>
    <row r="16" spans="1:5" x14ac:dyDescent="0.4">
      <c r="A16" s="47" t="s">
        <v>34</v>
      </c>
      <c r="B16" s="47" t="s">
        <v>36</v>
      </c>
      <c r="C16" s="83">
        <f>'ESM ADMIN COSTS 2025'!C16*0.97</f>
        <v>163.26069999999999</v>
      </c>
      <c r="D16" s="53">
        <f>24*C16</f>
        <v>3918.2567999999997</v>
      </c>
    </row>
    <row r="17" spans="1:4" x14ac:dyDescent="0.4">
      <c r="A17" s="47" t="s">
        <v>34</v>
      </c>
      <c r="B17" s="47" t="s">
        <v>36</v>
      </c>
      <c r="C17" s="83">
        <f>'ESM ADMIN COSTS 2025'!C17*0.97</f>
        <v>123.34519999999999</v>
      </c>
      <c r="D17" s="53">
        <f>24*C17</f>
        <v>2960.2847999999999</v>
      </c>
    </row>
    <row r="18" spans="1:4" x14ac:dyDescent="0.4">
      <c r="C18" s="83"/>
      <c r="D18" s="53"/>
    </row>
    <row r="19" spans="1:4" x14ac:dyDescent="0.4">
      <c r="A19" s="50" t="s">
        <v>37</v>
      </c>
      <c r="C19" s="83"/>
      <c r="D19" s="53"/>
    </row>
    <row r="20" spans="1:4" x14ac:dyDescent="0.4">
      <c r="A20" s="47" t="s">
        <v>38</v>
      </c>
      <c r="B20" s="47" t="s">
        <v>24</v>
      </c>
      <c r="C20" s="83">
        <f>'ESM ADMIN COSTS 2025'!C20*0.97</f>
        <v>107.12679999999999</v>
      </c>
      <c r="D20" s="53">
        <f>10*4*C20</f>
        <v>4285.0719999999992</v>
      </c>
    </row>
    <row r="21" spans="1:4" x14ac:dyDescent="0.4">
      <c r="A21" s="47" t="s">
        <v>38</v>
      </c>
      <c r="B21" s="47" t="s">
        <v>24</v>
      </c>
      <c r="C21" s="83">
        <f>'ESM ADMIN COSTS 2025'!C21*0.97</f>
        <v>163.26069999999999</v>
      </c>
      <c r="D21" s="53">
        <f>10*4*C21</f>
        <v>6530.4279999999999</v>
      </c>
    </row>
    <row r="22" spans="1:4" x14ac:dyDescent="0.4">
      <c r="A22" s="47" t="s">
        <v>38</v>
      </c>
      <c r="B22" s="47" t="s">
        <v>39</v>
      </c>
      <c r="C22" s="83">
        <f>'ESM ADMIN COSTS 2025'!C22*0.97</f>
        <v>123.34519999999999</v>
      </c>
      <c r="D22" s="53">
        <f>5*4*C22</f>
        <v>2466.904</v>
      </c>
    </row>
    <row r="23" spans="1:4" x14ac:dyDescent="0.4">
      <c r="A23" s="47" t="s">
        <v>40</v>
      </c>
      <c r="B23" s="47" t="s">
        <v>41</v>
      </c>
      <c r="C23" s="83">
        <f>'ESM ADMIN COSTS 2025'!C23*0.97</f>
        <v>163.26069999999999</v>
      </c>
      <c r="D23" s="53">
        <f>2*C23</f>
        <v>326.52139999999997</v>
      </c>
    </row>
    <row r="24" spans="1:4" x14ac:dyDescent="0.4">
      <c r="C24" s="83"/>
      <c r="D24" s="53"/>
    </row>
    <row r="25" spans="1:4" x14ac:dyDescent="0.4">
      <c r="A25" s="50" t="s">
        <v>42</v>
      </c>
      <c r="C25" s="83"/>
      <c r="D25" s="53"/>
    </row>
    <row r="26" spans="1:4" x14ac:dyDescent="0.4">
      <c r="A26" s="47" t="s">
        <v>43</v>
      </c>
      <c r="B26" s="47" t="s">
        <v>44</v>
      </c>
      <c r="C26" s="83">
        <f>'ESM ADMIN COSTS 2025'!C26*0.97</f>
        <v>107.12679999999999</v>
      </c>
      <c r="D26" s="53">
        <f>10*C26</f>
        <v>1071.2679999999998</v>
      </c>
    </row>
    <row r="27" spans="1:4" x14ac:dyDescent="0.4">
      <c r="A27" s="47" t="s">
        <v>45</v>
      </c>
      <c r="B27" s="47" t="s">
        <v>46</v>
      </c>
      <c r="C27" s="83">
        <f>'ESM ADMIN COSTS 2025'!C27*0.97</f>
        <v>107.12679999999999</v>
      </c>
      <c r="D27" s="53">
        <f>30*C27</f>
        <v>3213.8039999999996</v>
      </c>
    </row>
    <row r="28" spans="1:4" x14ac:dyDescent="0.4">
      <c r="A28" s="47" t="s">
        <v>47</v>
      </c>
      <c r="B28" s="47" t="s">
        <v>61</v>
      </c>
      <c r="C28" s="83">
        <f>'ESM ADMIN COSTS 2025'!C28*0.97</f>
        <v>107.12679999999999</v>
      </c>
      <c r="D28" s="53">
        <f>(40*3)*C28</f>
        <v>12855.215999999999</v>
      </c>
    </row>
    <row r="29" spans="1:4" x14ac:dyDescent="0.4">
      <c r="A29" s="47" t="s">
        <v>48</v>
      </c>
      <c r="B29" s="47" t="s">
        <v>49</v>
      </c>
      <c r="C29" s="83">
        <f>'ESM ADMIN COSTS 2025'!C29*0.97</f>
        <v>107.12679999999999</v>
      </c>
      <c r="D29" s="53">
        <f>40*C29</f>
        <v>4285.0719999999992</v>
      </c>
    </row>
    <row r="30" spans="1:4" x14ac:dyDescent="0.4">
      <c r="A30" s="47" t="s">
        <v>50</v>
      </c>
      <c r="B30" s="47" t="s">
        <v>49</v>
      </c>
      <c r="C30" s="83">
        <f>'ESM ADMIN COSTS 2025'!C30*0.97</f>
        <v>107.12679999999999</v>
      </c>
      <c r="D30" s="53">
        <f>40*C30</f>
        <v>4285.0719999999992</v>
      </c>
    </row>
    <row r="31" spans="1:4" x14ac:dyDescent="0.4">
      <c r="A31" s="47" t="s">
        <v>51</v>
      </c>
      <c r="B31" s="47" t="s">
        <v>35</v>
      </c>
      <c r="C31" s="83">
        <f>'ESM ADMIN COSTS 2025'!C31*0.97</f>
        <v>141.8819</v>
      </c>
      <c r="D31" s="53">
        <f>48*2*C31</f>
        <v>13620.662400000001</v>
      </c>
    </row>
    <row r="32" spans="1:4" x14ac:dyDescent="0.4">
      <c r="A32" s="47" t="s">
        <v>51</v>
      </c>
      <c r="B32" s="47" t="s">
        <v>52</v>
      </c>
      <c r="C32" s="83">
        <f>'ESM ADMIN COSTS 2025'!C32*0.97</f>
        <v>163.26069999999999</v>
      </c>
      <c r="D32" s="84">
        <f>2*2*C32</f>
        <v>653.04279999999994</v>
      </c>
    </row>
    <row r="33" spans="2:4" x14ac:dyDescent="0.4">
      <c r="D33" s="84"/>
    </row>
    <row r="34" spans="2:4" x14ac:dyDescent="0.4">
      <c r="C34" s="49"/>
      <c r="D34" s="84"/>
    </row>
    <row r="35" spans="2:4" x14ac:dyDescent="0.4">
      <c r="C35" s="49" t="s">
        <v>62</v>
      </c>
      <c r="D35" s="84">
        <f>SUM(D5:D32)</f>
        <v>123040.60059999998</v>
      </c>
    </row>
    <row r="36" spans="2:4" x14ac:dyDescent="0.4">
      <c r="B36" s="98" t="s">
        <v>63</v>
      </c>
      <c r="C36" s="98"/>
      <c r="D36" s="53">
        <v>81755</v>
      </c>
    </row>
    <row r="37" spans="2:4" ht="16.5" thickBot="1" x14ac:dyDescent="0.45">
      <c r="C37" s="47" t="s">
        <v>64</v>
      </c>
      <c r="D37" s="85">
        <f>D35+D36</f>
        <v>204795.60059999998</v>
      </c>
    </row>
  </sheetData>
  <mergeCells count="1">
    <mergeCell ref="B36:C36"/>
  </mergeCells>
  <pageMargins left="0.7" right="0.7" top="0.75" bottom="0.75" header="0.3" footer="0.3"/>
  <pageSetup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3E26-7CA2-40B0-9663-1262D31698B3}">
  <dimension ref="A1:E37"/>
  <sheetViews>
    <sheetView zoomScaleNormal="100" workbookViewId="0">
      <selection activeCell="E13" sqref="E13"/>
    </sheetView>
  </sheetViews>
  <sheetFormatPr defaultColWidth="8.81640625" defaultRowHeight="16" x14ac:dyDescent="0.4"/>
  <cols>
    <col min="1" max="1" width="54.453125" style="47" customWidth="1"/>
    <col min="2" max="2" width="18" style="47" customWidth="1"/>
    <col min="3" max="3" width="7.453125" style="47" customWidth="1"/>
    <col min="4" max="4" width="13.81640625" style="47" bestFit="1" customWidth="1"/>
    <col min="5" max="5" width="12.26953125" style="47" customWidth="1"/>
    <col min="6" max="16384" width="8.81640625" style="47"/>
  </cols>
  <sheetData>
    <row r="1" spans="1:5" x14ac:dyDescent="0.4">
      <c r="A1" s="51" t="s">
        <v>55</v>
      </c>
    </row>
    <row r="3" spans="1:5" x14ac:dyDescent="0.4">
      <c r="B3" s="47" t="s">
        <v>16</v>
      </c>
      <c r="C3" s="47" t="s">
        <v>17</v>
      </c>
      <c r="D3" s="47" t="s">
        <v>18</v>
      </c>
      <c r="E3" s="47" t="s">
        <v>19</v>
      </c>
    </row>
    <row r="4" spans="1:5" x14ac:dyDescent="0.4">
      <c r="A4" s="50" t="s">
        <v>56</v>
      </c>
    </row>
    <row r="5" spans="1:5" x14ac:dyDescent="0.4">
      <c r="A5" s="47" t="s">
        <v>57</v>
      </c>
      <c r="B5" s="47" t="s">
        <v>58</v>
      </c>
      <c r="C5" s="83">
        <v>110.44</v>
      </c>
      <c r="D5" s="53">
        <f>20*C5</f>
        <v>2208.8000000000002</v>
      </c>
    </row>
    <row r="6" spans="1:5" x14ac:dyDescent="0.4">
      <c r="A6" s="47" t="s">
        <v>23</v>
      </c>
      <c r="B6" s="47" t="s">
        <v>24</v>
      </c>
      <c r="C6" s="83">
        <v>110.44</v>
      </c>
      <c r="D6" s="53">
        <f>40*C6</f>
        <v>4417.6000000000004</v>
      </c>
    </row>
    <row r="7" spans="1:5" x14ac:dyDescent="0.4">
      <c r="A7" s="47" t="s">
        <v>23</v>
      </c>
      <c r="B7" s="47" t="s">
        <v>24</v>
      </c>
      <c r="C7" s="83">
        <v>168.31</v>
      </c>
      <c r="D7" s="53">
        <f>40*C7</f>
        <v>6732.4</v>
      </c>
    </row>
    <row r="8" spans="1:5" x14ac:dyDescent="0.4">
      <c r="A8" s="47" t="s">
        <v>25</v>
      </c>
      <c r="B8" s="47" t="s">
        <v>59</v>
      </c>
      <c r="C8" s="83">
        <v>168.31</v>
      </c>
      <c r="D8" s="53">
        <f>40*C8</f>
        <v>6732.4</v>
      </c>
    </row>
    <row r="9" spans="1:5" x14ac:dyDescent="0.4">
      <c r="A9" s="47" t="s">
        <v>25</v>
      </c>
      <c r="B9" s="47" t="s">
        <v>59</v>
      </c>
      <c r="C9" s="83">
        <v>110.44</v>
      </c>
      <c r="D9" s="53">
        <f>40*C9</f>
        <v>4417.6000000000004</v>
      </c>
    </row>
    <row r="10" spans="1:5" x14ac:dyDescent="0.4">
      <c r="C10" s="83"/>
      <c r="D10" s="53"/>
    </row>
    <row r="11" spans="1:5" x14ac:dyDescent="0.4">
      <c r="A11" s="50" t="s">
        <v>27</v>
      </c>
      <c r="C11" s="83"/>
      <c r="D11" s="53"/>
    </row>
    <row r="12" spans="1:5" x14ac:dyDescent="0.4">
      <c r="A12" s="47" t="s">
        <v>60</v>
      </c>
      <c r="B12" s="47" t="s">
        <v>29</v>
      </c>
      <c r="C12" s="83">
        <v>110.44</v>
      </c>
      <c r="D12" s="53">
        <f>5*C12</f>
        <v>552.20000000000005</v>
      </c>
    </row>
    <row r="13" spans="1:5" x14ac:dyDescent="0.4">
      <c r="A13" s="47" t="s">
        <v>30</v>
      </c>
      <c r="B13" s="47" t="s">
        <v>31</v>
      </c>
      <c r="C13" s="83">
        <v>110.44</v>
      </c>
      <c r="D13" s="53">
        <f>30*C13</f>
        <v>3313.2</v>
      </c>
    </row>
    <row r="14" spans="1:5" x14ac:dyDescent="0.4">
      <c r="A14" s="47" t="s">
        <v>32</v>
      </c>
      <c r="B14" s="47" t="s">
        <v>33</v>
      </c>
      <c r="C14" s="83">
        <v>110.44</v>
      </c>
      <c r="D14" s="53">
        <f>C14*200</f>
        <v>22088</v>
      </c>
    </row>
    <row r="15" spans="1:5" x14ac:dyDescent="0.4">
      <c r="A15" s="47" t="s">
        <v>34</v>
      </c>
      <c r="B15" s="47" t="s">
        <v>35</v>
      </c>
      <c r="C15" s="83">
        <v>146.27000000000001</v>
      </c>
      <c r="D15" s="53">
        <f>48*2*C15</f>
        <v>14041.920000000002</v>
      </c>
    </row>
    <row r="16" spans="1:5" x14ac:dyDescent="0.4">
      <c r="A16" s="47" t="s">
        <v>34</v>
      </c>
      <c r="B16" s="47" t="s">
        <v>36</v>
      </c>
      <c r="C16" s="83">
        <v>168.31</v>
      </c>
      <c r="D16" s="53">
        <f>24*C16</f>
        <v>4039.44</v>
      </c>
    </row>
    <row r="17" spans="1:4" x14ac:dyDescent="0.4">
      <c r="A17" s="47" t="s">
        <v>34</v>
      </c>
      <c r="B17" s="47" t="s">
        <v>36</v>
      </c>
      <c r="C17" s="83">
        <v>127.16</v>
      </c>
      <c r="D17" s="53">
        <f>24*C17</f>
        <v>3051.84</v>
      </c>
    </row>
    <row r="18" spans="1:4" x14ac:dyDescent="0.4">
      <c r="C18" s="83"/>
      <c r="D18" s="53"/>
    </row>
    <row r="19" spans="1:4" x14ac:dyDescent="0.4">
      <c r="A19" s="50" t="s">
        <v>37</v>
      </c>
      <c r="C19" s="83"/>
      <c r="D19" s="53"/>
    </row>
    <row r="20" spans="1:4" x14ac:dyDescent="0.4">
      <c r="A20" s="47" t="s">
        <v>38</v>
      </c>
      <c r="B20" s="47" t="s">
        <v>24</v>
      </c>
      <c r="C20" s="83">
        <v>110.44</v>
      </c>
      <c r="D20" s="53">
        <f>10*4*C20</f>
        <v>4417.6000000000004</v>
      </c>
    </row>
    <row r="21" spans="1:4" x14ac:dyDescent="0.4">
      <c r="A21" s="47" t="s">
        <v>38</v>
      </c>
      <c r="B21" s="47" t="s">
        <v>24</v>
      </c>
      <c r="C21" s="83">
        <v>168.31</v>
      </c>
      <c r="D21" s="53">
        <f>10*4*C21</f>
        <v>6732.4</v>
      </c>
    </row>
    <row r="22" spans="1:4" x14ac:dyDescent="0.4">
      <c r="A22" s="47" t="s">
        <v>38</v>
      </c>
      <c r="B22" s="47" t="s">
        <v>39</v>
      </c>
      <c r="C22" s="83">
        <v>127.16</v>
      </c>
      <c r="D22" s="53">
        <f>5*4*C22</f>
        <v>2543.1999999999998</v>
      </c>
    </row>
    <row r="23" spans="1:4" x14ac:dyDescent="0.4">
      <c r="A23" s="47" t="s">
        <v>40</v>
      </c>
      <c r="B23" s="47" t="s">
        <v>41</v>
      </c>
      <c r="C23" s="83">
        <v>168.31</v>
      </c>
      <c r="D23" s="53">
        <f>2*C23</f>
        <v>336.62</v>
      </c>
    </row>
    <row r="24" spans="1:4" x14ac:dyDescent="0.4">
      <c r="C24" s="83"/>
      <c r="D24" s="53"/>
    </row>
    <row r="25" spans="1:4" x14ac:dyDescent="0.4">
      <c r="A25" s="50" t="s">
        <v>42</v>
      </c>
      <c r="C25" s="83"/>
      <c r="D25" s="53"/>
    </row>
    <row r="26" spans="1:4" x14ac:dyDescent="0.4">
      <c r="A26" s="47" t="s">
        <v>43</v>
      </c>
      <c r="B26" s="47" t="s">
        <v>44</v>
      </c>
      <c r="C26" s="83">
        <v>110.44</v>
      </c>
      <c r="D26" s="53">
        <f>10*C26</f>
        <v>1104.4000000000001</v>
      </c>
    </row>
    <row r="27" spans="1:4" x14ac:dyDescent="0.4">
      <c r="A27" s="47" t="s">
        <v>45</v>
      </c>
      <c r="B27" s="47" t="s">
        <v>46</v>
      </c>
      <c r="C27" s="83">
        <v>110.44</v>
      </c>
      <c r="D27" s="53">
        <f>30*C27</f>
        <v>3313.2</v>
      </c>
    </row>
    <row r="28" spans="1:4" x14ac:dyDescent="0.4">
      <c r="A28" s="47" t="s">
        <v>47</v>
      </c>
      <c r="B28" s="47" t="s">
        <v>61</v>
      </c>
      <c r="C28" s="83">
        <v>110.44</v>
      </c>
      <c r="D28" s="53">
        <f>(40*3)*C28</f>
        <v>13252.8</v>
      </c>
    </row>
    <row r="29" spans="1:4" x14ac:dyDescent="0.4">
      <c r="A29" s="47" t="s">
        <v>48</v>
      </c>
      <c r="B29" s="47" t="s">
        <v>49</v>
      </c>
      <c r="C29" s="83">
        <v>110.44</v>
      </c>
      <c r="D29" s="53">
        <f>40*C29</f>
        <v>4417.6000000000004</v>
      </c>
    </row>
    <row r="30" spans="1:4" x14ac:dyDescent="0.4">
      <c r="A30" s="47" t="s">
        <v>50</v>
      </c>
      <c r="B30" s="47" t="s">
        <v>49</v>
      </c>
      <c r="C30" s="83">
        <v>110.44</v>
      </c>
      <c r="D30" s="53">
        <f>40*C30</f>
        <v>4417.6000000000004</v>
      </c>
    </row>
    <row r="31" spans="1:4" x14ac:dyDescent="0.4">
      <c r="A31" s="47" t="s">
        <v>51</v>
      </c>
      <c r="B31" s="47" t="s">
        <v>35</v>
      </c>
      <c r="C31" s="83">
        <v>146.27000000000001</v>
      </c>
      <c r="D31" s="53">
        <f>48*2*C31</f>
        <v>14041.920000000002</v>
      </c>
    </row>
    <row r="32" spans="1:4" x14ac:dyDescent="0.4">
      <c r="A32" s="47" t="s">
        <v>51</v>
      </c>
      <c r="B32" s="47" t="s">
        <v>52</v>
      </c>
      <c r="C32" s="83">
        <v>168.31</v>
      </c>
      <c r="D32" s="84">
        <f>2*2*C32</f>
        <v>673.24</v>
      </c>
    </row>
    <row r="33" spans="2:4" x14ac:dyDescent="0.4">
      <c r="D33" s="84"/>
    </row>
    <row r="34" spans="2:4" x14ac:dyDescent="0.4">
      <c r="C34" s="49"/>
      <c r="D34" s="84"/>
    </row>
    <row r="35" spans="2:4" x14ac:dyDescent="0.4">
      <c r="C35" s="49" t="s">
        <v>54</v>
      </c>
      <c r="D35" s="84">
        <f>SUM(D5:D32)</f>
        <v>126845.98</v>
      </c>
    </row>
    <row r="36" spans="2:4" x14ac:dyDescent="0.4">
      <c r="B36" s="98" t="s">
        <v>65</v>
      </c>
      <c r="C36" s="98"/>
      <c r="D36" s="53">
        <v>88860</v>
      </c>
    </row>
    <row r="37" spans="2:4" ht="16.5" thickBot="1" x14ac:dyDescent="0.45">
      <c r="C37" s="47" t="s">
        <v>66</v>
      </c>
      <c r="D37" s="52">
        <f>D35+D36</f>
        <v>215705.97999999998</v>
      </c>
    </row>
  </sheetData>
  <mergeCells count="1">
    <mergeCell ref="B36:C36"/>
  </mergeCells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6A558-A6C9-442D-8B45-A7D90D615373}">
  <dimension ref="A1:E37"/>
  <sheetViews>
    <sheetView topLeftCell="A2" zoomScaleNormal="100" workbookViewId="0">
      <selection activeCell="E19" sqref="E19"/>
    </sheetView>
  </sheetViews>
  <sheetFormatPr defaultColWidth="8.81640625" defaultRowHeight="16" x14ac:dyDescent="0.4"/>
  <cols>
    <col min="1" max="1" width="54.453125" style="47" customWidth="1"/>
    <col min="2" max="2" width="18" style="47" customWidth="1"/>
    <col min="3" max="3" width="20" style="47" customWidth="1"/>
    <col min="4" max="4" width="13.81640625" style="47" bestFit="1" customWidth="1"/>
    <col min="5" max="5" width="12.26953125" style="47" customWidth="1"/>
    <col min="6" max="16384" width="8.81640625" style="47"/>
  </cols>
  <sheetData>
    <row r="1" spans="1:5" x14ac:dyDescent="0.4">
      <c r="A1" s="51" t="s">
        <v>55</v>
      </c>
    </row>
    <row r="3" spans="1:5" x14ac:dyDescent="0.4">
      <c r="B3" s="47" t="s">
        <v>16</v>
      </c>
      <c r="C3" s="47" t="s">
        <v>17</v>
      </c>
      <c r="D3" s="47" t="s">
        <v>18</v>
      </c>
      <c r="E3" s="47" t="s">
        <v>19</v>
      </c>
    </row>
    <row r="4" spans="1:5" x14ac:dyDescent="0.4">
      <c r="A4" s="50" t="s">
        <v>56</v>
      </c>
    </row>
    <row r="5" spans="1:5" x14ac:dyDescent="0.4">
      <c r="A5" s="47" t="s">
        <v>57</v>
      </c>
      <c r="B5" s="47" t="s">
        <v>58</v>
      </c>
      <c r="C5" s="83">
        <f>'ESM ADMIN COSTS 2025'!C5*1.03</f>
        <v>113.75320000000001</v>
      </c>
      <c r="D5" s="86">
        <f>20*C5</f>
        <v>2275.0640000000003</v>
      </c>
    </row>
    <row r="6" spans="1:5" x14ac:dyDescent="0.4">
      <c r="A6" s="47" t="s">
        <v>23</v>
      </c>
      <c r="B6" s="47" t="s">
        <v>24</v>
      </c>
      <c r="C6" s="83">
        <f>'ESM ADMIN COSTS 2025'!C6*1.03</f>
        <v>113.75320000000001</v>
      </c>
      <c r="D6" s="86">
        <f>40*C6</f>
        <v>4550.1280000000006</v>
      </c>
    </row>
    <row r="7" spans="1:5" x14ac:dyDescent="0.4">
      <c r="A7" s="47" t="s">
        <v>23</v>
      </c>
      <c r="B7" s="47" t="s">
        <v>24</v>
      </c>
      <c r="C7" s="83">
        <f>'ESM ADMIN COSTS 2025'!C7*1.03</f>
        <v>173.35930000000002</v>
      </c>
      <c r="D7" s="86">
        <f>40*C7</f>
        <v>6934.3720000000012</v>
      </c>
    </row>
    <row r="8" spans="1:5" x14ac:dyDescent="0.4">
      <c r="A8" s="47" t="s">
        <v>25</v>
      </c>
      <c r="B8" s="47" t="s">
        <v>59</v>
      </c>
      <c r="C8" s="83">
        <f>'ESM ADMIN COSTS 2025'!C8*1.03</f>
        <v>173.35930000000002</v>
      </c>
      <c r="D8" s="86">
        <f>40*C8</f>
        <v>6934.3720000000012</v>
      </c>
    </row>
    <row r="9" spans="1:5" x14ac:dyDescent="0.4">
      <c r="A9" s="47" t="s">
        <v>25</v>
      </c>
      <c r="B9" s="47" t="s">
        <v>59</v>
      </c>
      <c r="C9" s="83">
        <f>'ESM ADMIN COSTS 2025'!C9*1.03</f>
        <v>113.75320000000001</v>
      </c>
      <c r="D9" s="86">
        <f>40*C9</f>
        <v>4550.1280000000006</v>
      </c>
    </row>
    <row r="10" spans="1:5" x14ac:dyDescent="0.4">
      <c r="C10" s="83"/>
      <c r="D10" s="86"/>
    </row>
    <row r="11" spans="1:5" x14ac:dyDescent="0.4">
      <c r="A11" s="50" t="s">
        <v>27</v>
      </c>
      <c r="C11" s="83"/>
      <c r="D11" s="86"/>
    </row>
    <row r="12" spans="1:5" x14ac:dyDescent="0.4">
      <c r="A12" s="47" t="s">
        <v>60</v>
      </c>
      <c r="B12" s="47" t="s">
        <v>29</v>
      </c>
      <c r="C12" s="83">
        <f>'ESM ADMIN COSTS 2025'!C12*1.03</f>
        <v>113.75320000000001</v>
      </c>
      <c r="D12" s="86">
        <f>5*C12</f>
        <v>568.76600000000008</v>
      </c>
    </row>
    <row r="13" spans="1:5" x14ac:dyDescent="0.4">
      <c r="A13" s="47" t="s">
        <v>30</v>
      </c>
      <c r="B13" s="47" t="s">
        <v>31</v>
      </c>
      <c r="C13" s="83">
        <f>'ESM ADMIN COSTS 2025'!C13*1.03</f>
        <v>113.75320000000001</v>
      </c>
      <c r="D13" s="86">
        <f>30*C13</f>
        <v>3412.596</v>
      </c>
    </row>
    <row r="14" spans="1:5" x14ac:dyDescent="0.4">
      <c r="A14" s="47" t="s">
        <v>32</v>
      </c>
      <c r="B14" s="47" t="s">
        <v>33</v>
      </c>
      <c r="C14" s="83">
        <f>'ESM ADMIN COSTS 2025'!C14*1.03</f>
        <v>113.75320000000001</v>
      </c>
      <c r="D14" s="86">
        <f>C14*200</f>
        <v>22750.640000000003</v>
      </c>
    </row>
    <row r="15" spans="1:5" x14ac:dyDescent="0.4">
      <c r="A15" s="47" t="s">
        <v>34</v>
      </c>
      <c r="B15" s="47" t="s">
        <v>35</v>
      </c>
      <c r="C15" s="83">
        <f>'ESM ADMIN COSTS 2025'!C15*1.03</f>
        <v>150.65810000000002</v>
      </c>
      <c r="D15" s="86">
        <f>48*2*C15</f>
        <v>14463.177600000003</v>
      </c>
    </row>
    <row r="16" spans="1:5" x14ac:dyDescent="0.4">
      <c r="A16" s="47" t="s">
        <v>34</v>
      </c>
      <c r="B16" s="47" t="s">
        <v>36</v>
      </c>
      <c r="C16" s="83">
        <f>'ESM ADMIN COSTS 2025'!C16*1.03</f>
        <v>173.35930000000002</v>
      </c>
      <c r="D16" s="86">
        <f>24*C16</f>
        <v>4160.6232</v>
      </c>
    </row>
    <row r="17" spans="1:4" x14ac:dyDescent="0.4">
      <c r="A17" s="47" t="s">
        <v>34</v>
      </c>
      <c r="B17" s="47" t="s">
        <v>36</v>
      </c>
      <c r="C17" s="83">
        <f>'ESM ADMIN COSTS 2025'!C17*1.03</f>
        <v>130.97479999999999</v>
      </c>
      <c r="D17" s="86">
        <f>24*C17</f>
        <v>3143.3951999999999</v>
      </c>
    </row>
    <row r="18" spans="1:4" x14ac:dyDescent="0.4">
      <c r="C18" s="83"/>
      <c r="D18" s="86"/>
    </row>
    <row r="19" spans="1:4" x14ac:dyDescent="0.4">
      <c r="A19" s="50" t="s">
        <v>37</v>
      </c>
      <c r="C19" s="83"/>
      <c r="D19" s="86"/>
    </row>
    <row r="20" spans="1:4" x14ac:dyDescent="0.4">
      <c r="A20" s="47" t="s">
        <v>38</v>
      </c>
      <c r="B20" s="47" t="s">
        <v>24</v>
      </c>
      <c r="C20" s="83">
        <f>'ESM ADMIN COSTS 2025'!C20*1.03</f>
        <v>113.75320000000001</v>
      </c>
      <c r="D20" s="86">
        <f>10*4*C20</f>
        <v>4550.1280000000006</v>
      </c>
    </row>
    <row r="21" spans="1:4" x14ac:dyDescent="0.4">
      <c r="A21" s="47" t="s">
        <v>38</v>
      </c>
      <c r="B21" s="47" t="s">
        <v>24</v>
      </c>
      <c r="C21" s="83">
        <f>'ESM ADMIN COSTS 2025'!C21*1.03</f>
        <v>173.35930000000002</v>
      </c>
      <c r="D21" s="86">
        <f>10*4*C21</f>
        <v>6934.3720000000012</v>
      </c>
    </row>
    <row r="22" spans="1:4" x14ac:dyDescent="0.4">
      <c r="A22" s="47" t="s">
        <v>38</v>
      </c>
      <c r="B22" s="47" t="s">
        <v>39</v>
      </c>
      <c r="C22" s="83">
        <f>'ESM ADMIN COSTS 2025'!C22*1.03</f>
        <v>130.97479999999999</v>
      </c>
      <c r="D22" s="86">
        <f>5*4*C22</f>
        <v>2619.4959999999996</v>
      </c>
    </row>
    <row r="23" spans="1:4" x14ac:dyDescent="0.4">
      <c r="A23" s="47" t="s">
        <v>40</v>
      </c>
      <c r="B23" s="47" t="s">
        <v>41</v>
      </c>
      <c r="C23" s="83">
        <f>'ESM ADMIN COSTS 2025'!C23*1.03</f>
        <v>173.35930000000002</v>
      </c>
      <c r="D23" s="86">
        <f>2*C23</f>
        <v>346.71860000000004</v>
      </c>
    </row>
    <row r="24" spans="1:4" x14ac:dyDescent="0.4">
      <c r="C24" s="83"/>
      <c r="D24" s="86"/>
    </row>
    <row r="25" spans="1:4" x14ac:dyDescent="0.4">
      <c r="A25" s="50" t="s">
        <v>42</v>
      </c>
      <c r="C25" s="83"/>
      <c r="D25" s="86"/>
    </row>
    <row r="26" spans="1:4" x14ac:dyDescent="0.4">
      <c r="A26" s="47" t="s">
        <v>43</v>
      </c>
      <c r="B26" s="47" t="s">
        <v>44</v>
      </c>
      <c r="C26" s="83">
        <f>'ESM ADMIN COSTS 2025'!C26*1.03</f>
        <v>113.75320000000001</v>
      </c>
      <c r="D26" s="86">
        <f>10*C26</f>
        <v>1137.5320000000002</v>
      </c>
    </row>
    <row r="27" spans="1:4" x14ac:dyDescent="0.4">
      <c r="A27" s="47" t="s">
        <v>45</v>
      </c>
      <c r="B27" s="47" t="s">
        <v>46</v>
      </c>
      <c r="C27" s="83">
        <f>'ESM ADMIN COSTS 2025'!C27*1.03</f>
        <v>113.75320000000001</v>
      </c>
      <c r="D27" s="86">
        <f>30*C27</f>
        <v>3412.596</v>
      </c>
    </row>
    <row r="28" spans="1:4" x14ac:dyDescent="0.4">
      <c r="A28" s="47" t="s">
        <v>47</v>
      </c>
      <c r="B28" s="47" t="s">
        <v>61</v>
      </c>
      <c r="C28" s="83">
        <f>'ESM ADMIN COSTS 2025'!C28*1.03</f>
        <v>113.75320000000001</v>
      </c>
      <c r="D28" s="86">
        <f>(40*3)*C28</f>
        <v>13650.384</v>
      </c>
    </row>
    <row r="29" spans="1:4" x14ac:dyDescent="0.4">
      <c r="A29" s="47" t="s">
        <v>48</v>
      </c>
      <c r="B29" s="47" t="s">
        <v>49</v>
      </c>
      <c r="C29" s="83">
        <f>'ESM ADMIN COSTS 2025'!C29*1.03</f>
        <v>113.75320000000001</v>
      </c>
      <c r="D29" s="86">
        <f>40*C29</f>
        <v>4550.1280000000006</v>
      </c>
    </row>
    <row r="30" spans="1:4" x14ac:dyDescent="0.4">
      <c r="A30" s="47" t="s">
        <v>50</v>
      </c>
      <c r="B30" s="47" t="s">
        <v>49</v>
      </c>
      <c r="C30" s="83">
        <f>'ESM ADMIN COSTS 2025'!C30*1.03</f>
        <v>113.75320000000001</v>
      </c>
      <c r="D30" s="86">
        <f>40*C30</f>
        <v>4550.1280000000006</v>
      </c>
    </row>
    <row r="31" spans="1:4" x14ac:dyDescent="0.4">
      <c r="A31" s="47" t="s">
        <v>51</v>
      </c>
      <c r="B31" s="47" t="s">
        <v>35</v>
      </c>
      <c r="C31" s="83">
        <f>'ESM ADMIN COSTS 2025'!C31*1.03</f>
        <v>150.65810000000002</v>
      </c>
      <c r="D31" s="86">
        <f>48*2*C31</f>
        <v>14463.177600000003</v>
      </c>
    </row>
    <row r="32" spans="1:4" x14ac:dyDescent="0.4">
      <c r="A32" s="47" t="s">
        <v>51</v>
      </c>
      <c r="B32" s="47" t="s">
        <v>52</v>
      </c>
      <c r="C32" s="83">
        <f>'ESM ADMIN COSTS 2025'!C32*1.03</f>
        <v>173.35930000000002</v>
      </c>
      <c r="D32" s="83">
        <f>2*2*C32</f>
        <v>693.43720000000008</v>
      </c>
    </row>
    <row r="34" spans="2:4" x14ac:dyDescent="0.4">
      <c r="C34" s="49"/>
      <c r="D34" s="48"/>
    </row>
    <row r="35" spans="2:4" x14ac:dyDescent="0.4">
      <c r="C35" s="49" t="s">
        <v>67</v>
      </c>
      <c r="D35" s="84">
        <f>SUM(D5:D32)</f>
        <v>130651.35940000003</v>
      </c>
    </row>
    <row r="36" spans="2:4" x14ac:dyDescent="0.4">
      <c r="B36" s="98" t="s">
        <v>68</v>
      </c>
      <c r="C36" s="98"/>
      <c r="D36" s="53">
        <f>'ESM ADMIN COSTS 2025'!D36*1.05</f>
        <v>93303</v>
      </c>
    </row>
    <row r="37" spans="2:4" ht="16.5" thickBot="1" x14ac:dyDescent="0.45">
      <c r="C37" s="47" t="s">
        <v>69</v>
      </c>
      <c r="D37" s="85">
        <f>D35+D36</f>
        <v>223954.35940000002</v>
      </c>
    </row>
  </sheetData>
  <mergeCells count="1">
    <mergeCell ref="B36:C36"/>
  </mergeCells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E83B7-030D-49CE-8F9F-245FC4B65651}">
  <dimension ref="A2:L37"/>
  <sheetViews>
    <sheetView zoomScale="85" zoomScaleNormal="85" workbookViewId="0">
      <selection activeCell="E37" sqref="E37"/>
    </sheetView>
  </sheetViews>
  <sheetFormatPr defaultColWidth="8.81640625" defaultRowHeight="16" x14ac:dyDescent="0.4"/>
  <cols>
    <col min="1" max="1" width="57.453125" style="47" bestFit="1" customWidth="1"/>
    <col min="2" max="2" width="17.453125" style="47" bestFit="1" customWidth="1"/>
    <col min="3" max="7" width="17.453125" style="47" customWidth="1"/>
    <col min="8" max="8" width="24" style="47" bestFit="1" customWidth="1"/>
    <col min="9" max="10" width="24" style="47" customWidth="1"/>
    <col min="11" max="11" width="20.7265625" style="47" bestFit="1" customWidth="1"/>
    <col min="12" max="16384" width="8.81640625" style="47"/>
  </cols>
  <sheetData>
    <row r="2" spans="1:12" ht="16.5" thickBot="1" x14ac:dyDescent="0.45">
      <c r="B2" s="47" t="s">
        <v>16</v>
      </c>
      <c r="C2" s="57">
        <v>44958</v>
      </c>
      <c r="D2" s="57">
        <v>44927</v>
      </c>
      <c r="E2" s="57">
        <v>44896</v>
      </c>
      <c r="F2" s="57">
        <v>44866</v>
      </c>
      <c r="G2" s="57">
        <v>44835</v>
      </c>
      <c r="H2" s="47" t="s">
        <v>17</v>
      </c>
      <c r="I2" s="47" t="s">
        <v>70</v>
      </c>
      <c r="J2" s="47" t="s">
        <v>71</v>
      </c>
      <c r="K2" s="47" t="s">
        <v>72</v>
      </c>
      <c r="L2" s="47" t="s">
        <v>19</v>
      </c>
    </row>
    <row r="3" spans="1:12" x14ac:dyDescent="0.4">
      <c r="A3" s="50" t="s">
        <v>20</v>
      </c>
      <c r="E3" s="56"/>
    </row>
    <row r="4" spans="1:12" x14ac:dyDescent="0.4">
      <c r="A4" s="47" t="s">
        <v>21</v>
      </c>
      <c r="B4" s="47" t="s">
        <v>22</v>
      </c>
      <c r="C4" s="47">
        <v>15</v>
      </c>
      <c r="D4" s="47">
        <v>11</v>
      </c>
      <c r="E4" s="55">
        <v>25</v>
      </c>
      <c r="F4" s="47">
        <v>17</v>
      </c>
      <c r="G4" s="47">
        <v>20</v>
      </c>
      <c r="H4" s="83">
        <v>89.82</v>
      </c>
      <c r="I4" s="83">
        <f t="shared" ref="I4:I32" si="0">SUM(E4:G4)*H4</f>
        <v>5568.8399999999992</v>
      </c>
      <c r="J4" s="83">
        <f t="shared" ref="J4:J32" si="1">SUM(C4:D4)*H4</f>
        <v>2335.3199999999997</v>
      </c>
      <c r="K4" s="86">
        <f>100*H4</f>
        <v>8982</v>
      </c>
    </row>
    <row r="5" spans="1:12" x14ac:dyDescent="0.4">
      <c r="A5" s="47" t="s">
        <v>21</v>
      </c>
      <c r="B5" s="47" t="s">
        <v>22</v>
      </c>
      <c r="C5" s="47">
        <v>15</v>
      </c>
      <c r="D5" s="47">
        <v>11</v>
      </c>
      <c r="E5" s="55">
        <v>25</v>
      </c>
      <c r="F5" s="47">
        <v>17</v>
      </c>
      <c r="G5" s="47">
        <v>20</v>
      </c>
      <c r="H5" s="83">
        <v>157.05000000000001</v>
      </c>
      <c r="I5" s="83">
        <f t="shared" si="0"/>
        <v>9737.1</v>
      </c>
      <c r="J5" s="83">
        <f t="shared" si="1"/>
        <v>4083.3</v>
      </c>
      <c r="K5" s="86">
        <f>100*H5</f>
        <v>15705.000000000002</v>
      </c>
    </row>
    <row r="6" spans="1:12" x14ac:dyDescent="0.4">
      <c r="A6" s="47" t="s">
        <v>23</v>
      </c>
      <c r="B6" s="47" t="s">
        <v>24</v>
      </c>
      <c r="E6" s="55"/>
      <c r="H6" s="83">
        <v>89.82</v>
      </c>
      <c r="I6" s="83">
        <f t="shared" si="0"/>
        <v>0</v>
      </c>
      <c r="J6" s="83">
        <f t="shared" si="1"/>
        <v>0</v>
      </c>
      <c r="K6" s="86">
        <f>40*H6</f>
        <v>3592.7999999999997</v>
      </c>
    </row>
    <row r="7" spans="1:12" x14ac:dyDescent="0.4">
      <c r="A7" s="47" t="s">
        <v>23</v>
      </c>
      <c r="B7" s="47" t="s">
        <v>24</v>
      </c>
      <c r="C7" s="47">
        <v>1</v>
      </c>
      <c r="E7" s="55"/>
      <c r="H7" s="83">
        <v>157.05000000000001</v>
      </c>
      <c r="I7" s="83">
        <f t="shared" si="0"/>
        <v>0</v>
      </c>
      <c r="J7" s="83">
        <f t="shared" si="1"/>
        <v>157.05000000000001</v>
      </c>
      <c r="K7" s="86">
        <f>40*H7</f>
        <v>6282</v>
      </c>
    </row>
    <row r="8" spans="1:12" x14ac:dyDescent="0.4">
      <c r="A8" s="47" t="s">
        <v>25</v>
      </c>
      <c r="B8" s="47" t="s">
        <v>26</v>
      </c>
      <c r="E8" s="55"/>
      <c r="F8" s="47">
        <v>1</v>
      </c>
      <c r="H8" s="83">
        <v>157.05000000000001</v>
      </c>
      <c r="I8" s="83">
        <f t="shared" si="0"/>
        <v>157.05000000000001</v>
      </c>
      <c r="J8" s="83">
        <f t="shared" si="1"/>
        <v>0</v>
      </c>
      <c r="K8" s="86">
        <f>4*H8</f>
        <v>628.20000000000005</v>
      </c>
    </row>
    <row r="9" spans="1:12" x14ac:dyDescent="0.4">
      <c r="A9" s="47" t="s">
        <v>25</v>
      </c>
      <c r="B9" s="47" t="s">
        <v>26</v>
      </c>
      <c r="E9" s="55"/>
      <c r="F9" s="47">
        <v>1</v>
      </c>
      <c r="H9" s="83">
        <v>89.82</v>
      </c>
      <c r="I9" s="83">
        <f t="shared" si="0"/>
        <v>89.82</v>
      </c>
      <c r="J9" s="83">
        <f t="shared" si="1"/>
        <v>0</v>
      </c>
      <c r="K9" s="86">
        <f>4*H9</f>
        <v>359.28</v>
      </c>
    </row>
    <row r="10" spans="1:12" x14ac:dyDescent="0.4">
      <c r="E10" s="55"/>
      <c r="H10" s="83"/>
      <c r="I10" s="83">
        <f t="shared" si="0"/>
        <v>0</v>
      </c>
      <c r="J10" s="83">
        <f t="shared" si="1"/>
        <v>0</v>
      </c>
      <c r="K10" s="86"/>
    </row>
    <row r="11" spans="1:12" x14ac:dyDescent="0.4">
      <c r="A11" s="50" t="s">
        <v>27</v>
      </c>
      <c r="E11" s="55"/>
      <c r="H11" s="83"/>
      <c r="I11" s="83">
        <f t="shared" si="0"/>
        <v>0</v>
      </c>
      <c r="J11" s="83">
        <f t="shared" si="1"/>
        <v>0</v>
      </c>
      <c r="K11" s="86"/>
    </row>
    <row r="12" spans="1:12" x14ac:dyDescent="0.4">
      <c r="A12" s="47" t="s">
        <v>28</v>
      </c>
      <c r="B12" s="47" t="s">
        <v>29</v>
      </c>
      <c r="C12" s="47">
        <v>4</v>
      </c>
      <c r="D12" s="47">
        <v>4</v>
      </c>
      <c r="E12" s="55">
        <v>5</v>
      </c>
      <c r="F12" s="47">
        <v>5</v>
      </c>
      <c r="G12" s="47">
        <v>4</v>
      </c>
      <c r="H12" s="83">
        <v>89.82</v>
      </c>
      <c r="I12" s="83">
        <f t="shared" si="0"/>
        <v>1257.48</v>
      </c>
      <c r="J12" s="83">
        <f t="shared" si="1"/>
        <v>718.56</v>
      </c>
      <c r="K12" s="86">
        <f>5*H12</f>
        <v>449.09999999999997</v>
      </c>
    </row>
    <row r="13" spans="1:12" x14ac:dyDescent="0.4">
      <c r="A13" s="47" t="s">
        <v>30</v>
      </c>
      <c r="B13" s="47" t="s">
        <v>31</v>
      </c>
      <c r="C13" s="47">
        <v>10</v>
      </c>
      <c r="D13" s="47">
        <v>10</v>
      </c>
      <c r="E13" s="55"/>
      <c r="H13" s="83">
        <v>89.82</v>
      </c>
      <c r="I13" s="83">
        <f t="shared" si="0"/>
        <v>0</v>
      </c>
      <c r="J13" s="83">
        <f t="shared" si="1"/>
        <v>1796.3999999999999</v>
      </c>
      <c r="K13" s="86">
        <f>30*H13</f>
        <v>2694.6</v>
      </c>
    </row>
    <row r="14" spans="1:12" x14ac:dyDescent="0.4">
      <c r="A14" s="47" t="s">
        <v>32</v>
      </c>
      <c r="B14" s="47" t="s">
        <v>33</v>
      </c>
      <c r="C14" s="47">
        <v>15</v>
      </c>
      <c r="E14" s="55"/>
      <c r="H14" s="83">
        <v>89.82</v>
      </c>
      <c r="I14" s="83">
        <f t="shared" si="0"/>
        <v>0</v>
      </c>
      <c r="J14" s="83">
        <f t="shared" si="1"/>
        <v>1347.3</v>
      </c>
      <c r="K14" s="86">
        <f>H14*200</f>
        <v>17964</v>
      </c>
    </row>
    <row r="15" spans="1:12" x14ac:dyDescent="0.4">
      <c r="A15" s="47" t="s">
        <v>34</v>
      </c>
      <c r="B15" s="47" t="s">
        <v>35</v>
      </c>
      <c r="C15" s="47">
        <v>8</v>
      </c>
      <c r="D15" s="47">
        <v>8</v>
      </c>
      <c r="E15" s="55">
        <v>16</v>
      </c>
      <c r="F15" s="47">
        <v>12</v>
      </c>
      <c r="G15" s="47">
        <v>12</v>
      </c>
      <c r="H15" s="83">
        <v>136.6</v>
      </c>
      <c r="I15" s="83">
        <f t="shared" si="0"/>
        <v>5464</v>
      </c>
      <c r="J15" s="83">
        <f t="shared" si="1"/>
        <v>2185.6</v>
      </c>
      <c r="K15" s="86">
        <f>48*2*H15</f>
        <v>13113.599999999999</v>
      </c>
    </row>
    <row r="16" spans="1:12" x14ac:dyDescent="0.4">
      <c r="A16" s="47" t="s">
        <v>34</v>
      </c>
      <c r="B16" s="47" t="s">
        <v>36</v>
      </c>
      <c r="C16" s="47">
        <v>1</v>
      </c>
      <c r="D16" s="47">
        <v>1</v>
      </c>
      <c r="E16" s="55">
        <v>1</v>
      </c>
      <c r="F16" s="47">
        <v>1</v>
      </c>
      <c r="G16" s="47">
        <v>1</v>
      </c>
      <c r="H16" s="83">
        <v>157.05000000000001</v>
      </c>
      <c r="I16" s="83">
        <f t="shared" si="0"/>
        <v>471.15000000000003</v>
      </c>
      <c r="J16" s="83">
        <f t="shared" si="1"/>
        <v>314.10000000000002</v>
      </c>
      <c r="K16" s="86">
        <f>24*H16</f>
        <v>3769.2000000000003</v>
      </c>
    </row>
    <row r="17" spans="1:11" x14ac:dyDescent="0.4">
      <c r="A17" s="47" t="s">
        <v>34</v>
      </c>
      <c r="B17" s="47" t="s">
        <v>36</v>
      </c>
      <c r="C17" s="47">
        <v>1</v>
      </c>
      <c r="D17" s="47">
        <v>1</v>
      </c>
      <c r="E17" s="55">
        <v>1</v>
      </c>
      <c r="F17" s="47">
        <v>1</v>
      </c>
      <c r="G17" s="47">
        <v>1</v>
      </c>
      <c r="H17" s="83">
        <v>103.14</v>
      </c>
      <c r="I17" s="83">
        <f t="shared" si="0"/>
        <v>309.42</v>
      </c>
      <c r="J17" s="83">
        <f t="shared" si="1"/>
        <v>206.28</v>
      </c>
      <c r="K17" s="86">
        <f>24*H17</f>
        <v>2475.36</v>
      </c>
    </row>
    <row r="18" spans="1:11" x14ac:dyDescent="0.4">
      <c r="E18" s="55"/>
      <c r="H18" s="83"/>
      <c r="I18" s="83">
        <f t="shared" si="0"/>
        <v>0</v>
      </c>
      <c r="J18" s="83">
        <f t="shared" si="1"/>
        <v>0</v>
      </c>
      <c r="K18" s="86"/>
    </row>
    <row r="19" spans="1:11" x14ac:dyDescent="0.4">
      <c r="A19" s="50" t="s">
        <v>37</v>
      </c>
      <c r="E19" s="55"/>
      <c r="H19" s="83"/>
      <c r="I19" s="83">
        <f t="shared" si="0"/>
        <v>0</v>
      </c>
      <c r="J19" s="83">
        <f t="shared" si="1"/>
        <v>0</v>
      </c>
      <c r="K19" s="86"/>
    </row>
    <row r="20" spans="1:11" x14ac:dyDescent="0.4">
      <c r="A20" s="47" t="s">
        <v>38</v>
      </c>
      <c r="B20" s="47" t="s">
        <v>24</v>
      </c>
      <c r="C20" s="47">
        <v>7</v>
      </c>
      <c r="D20" s="47">
        <v>6</v>
      </c>
      <c r="E20" s="55"/>
      <c r="H20" s="83">
        <v>89.82</v>
      </c>
      <c r="I20" s="83">
        <f t="shared" si="0"/>
        <v>0</v>
      </c>
      <c r="J20" s="83">
        <f t="shared" si="1"/>
        <v>1167.6599999999999</v>
      </c>
      <c r="K20" s="86">
        <f>10*4*H20</f>
        <v>3592.7999999999997</v>
      </c>
    </row>
    <row r="21" spans="1:11" x14ac:dyDescent="0.4">
      <c r="A21" s="47" t="s">
        <v>38</v>
      </c>
      <c r="B21" s="47" t="s">
        <v>24</v>
      </c>
      <c r="C21" s="47">
        <v>7</v>
      </c>
      <c r="D21" s="47">
        <v>6</v>
      </c>
      <c r="E21" s="55"/>
      <c r="H21" s="83">
        <v>157.05000000000001</v>
      </c>
      <c r="I21" s="83">
        <f t="shared" si="0"/>
        <v>0</v>
      </c>
      <c r="J21" s="83">
        <f t="shared" si="1"/>
        <v>2041.65</v>
      </c>
      <c r="K21" s="86">
        <f>10*4*H21</f>
        <v>6282</v>
      </c>
    </row>
    <row r="22" spans="1:11" x14ac:dyDescent="0.4">
      <c r="A22" s="47" t="s">
        <v>38</v>
      </c>
      <c r="B22" s="47" t="s">
        <v>39</v>
      </c>
      <c r="C22" s="47">
        <v>5</v>
      </c>
      <c r="D22" s="47">
        <v>5</v>
      </c>
      <c r="E22" s="55"/>
      <c r="H22" s="83">
        <v>103.14</v>
      </c>
      <c r="I22" s="83">
        <f t="shared" si="0"/>
        <v>0</v>
      </c>
      <c r="J22" s="83">
        <f t="shared" si="1"/>
        <v>1031.4000000000001</v>
      </c>
      <c r="K22" s="86">
        <f>5*4*H22</f>
        <v>2062.8000000000002</v>
      </c>
    </row>
    <row r="23" spans="1:11" x14ac:dyDescent="0.4">
      <c r="A23" s="47" t="s">
        <v>40</v>
      </c>
      <c r="B23" s="47" t="s">
        <v>41</v>
      </c>
      <c r="E23" s="55"/>
      <c r="H23" s="83">
        <v>157.05000000000001</v>
      </c>
      <c r="I23" s="83">
        <f t="shared" si="0"/>
        <v>0</v>
      </c>
      <c r="J23" s="83">
        <f t="shared" si="1"/>
        <v>0</v>
      </c>
      <c r="K23" s="86">
        <f>2*H23</f>
        <v>314.10000000000002</v>
      </c>
    </row>
    <row r="24" spans="1:11" x14ac:dyDescent="0.4">
      <c r="E24" s="55"/>
      <c r="H24" s="83"/>
      <c r="I24" s="83">
        <f t="shared" si="0"/>
        <v>0</v>
      </c>
      <c r="J24" s="83">
        <f t="shared" si="1"/>
        <v>0</v>
      </c>
      <c r="K24" s="86"/>
    </row>
    <row r="25" spans="1:11" x14ac:dyDescent="0.4">
      <c r="A25" s="50" t="s">
        <v>42</v>
      </c>
      <c r="E25" s="55"/>
      <c r="H25" s="83"/>
      <c r="I25" s="83">
        <f t="shared" si="0"/>
        <v>0</v>
      </c>
      <c r="J25" s="83">
        <f t="shared" si="1"/>
        <v>0</v>
      </c>
      <c r="K25" s="86"/>
    </row>
    <row r="26" spans="1:11" x14ac:dyDescent="0.4">
      <c r="A26" s="47" t="s">
        <v>43</v>
      </c>
      <c r="B26" s="47" t="s">
        <v>44</v>
      </c>
      <c r="C26" s="47">
        <v>1</v>
      </c>
      <c r="E26" s="55"/>
      <c r="H26" s="83">
        <v>89.82</v>
      </c>
      <c r="I26" s="83">
        <f t="shared" si="0"/>
        <v>0</v>
      </c>
      <c r="J26" s="83">
        <f t="shared" si="1"/>
        <v>89.82</v>
      </c>
      <c r="K26" s="86">
        <f>10*H26</f>
        <v>898.19999999999993</v>
      </c>
    </row>
    <row r="27" spans="1:11" x14ac:dyDescent="0.4">
      <c r="A27" s="47" t="s">
        <v>45</v>
      </c>
      <c r="B27" s="47" t="s">
        <v>46</v>
      </c>
      <c r="E27" s="55"/>
      <c r="H27" s="83">
        <v>89.82</v>
      </c>
      <c r="I27" s="83">
        <f t="shared" si="0"/>
        <v>0</v>
      </c>
      <c r="J27" s="83">
        <f t="shared" si="1"/>
        <v>0</v>
      </c>
      <c r="K27" s="86">
        <f>30*H27</f>
        <v>2694.6</v>
      </c>
    </row>
    <row r="28" spans="1:11" x14ac:dyDescent="0.4">
      <c r="A28" s="47" t="s">
        <v>47</v>
      </c>
      <c r="B28" s="47" t="s">
        <v>31</v>
      </c>
      <c r="E28" s="55"/>
      <c r="H28" s="83">
        <v>89.82</v>
      </c>
      <c r="I28" s="83">
        <f t="shared" si="0"/>
        <v>0</v>
      </c>
      <c r="J28" s="83">
        <f t="shared" si="1"/>
        <v>0</v>
      </c>
      <c r="K28" s="86">
        <f>30*H28</f>
        <v>2694.6</v>
      </c>
    </row>
    <row r="29" spans="1:11" x14ac:dyDescent="0.4">
      <c r="A29" s="47" t="s">
        <v>48</v>
      </c>
      <c r="B29" s="47" t="s">
        <v>49</v>
      </c>
      <c r="E29" s="55"/>
      <c r="H29" s="83">
        <v>89.82</v>
      </c>
      <c r="I29" s="83">
        <f t="shared" si="0"/>
        <v>0</v>
      </c>
      <c r="J29" s="83">
        <f t="shared" si="1"/>
        <v>0</v>
      </c>
      <c r="K29" s="86">
        <f>40*H29</f>
        <v>3592.7999999999997</v>
      </c>
    </row>
    <row r="30" spans="1:11" x14ac:dyDescent="0.4">
      <c r="A30" s="47" t="s">
        <v>50</v>
      </c>
      <c r="B30" s="47" t="s">
        <v>49</v>
      </c>
      <c r="E30" s="55"/>
      <c r="H30" s="83">
        <v>89.82</v>
      </c>
      <c r="I30" s="83">
        <f t="shared" si="0"/>
        <v>0</v>
      </c>
      <c r="J30" s="83">
        <f t="shared" si="1"/>
        <v>0</v>
      </c>
      <c r="K30" s="86">
        <f>40*H30</f>
        <v>3592.7999999999997</v>
      </c>
    </row>
    <row r="31" spans="1:11" x14ac:dyDescent="0.4">
      <c r="A31" s="47" t="s">
        <v>51</v>
      </c>
      <c r="B31" s="47" t="s">
        <v>35</v>
      </c>
      <c r="E31" s="55"/>
      <c r="H31" s="83">
        <v>136.6</v>
      </c>
      <c r="I31" s="83">
        <f t="shared" si="0"/>
        <v>0</v>
      </c>
      <c r="J31" s="83">
        <f t="shared" si="1"/>
        <v>0</v>
      </c>
      <c r="K31" s="86">
        <f>48*2*H31</f>
        <v>13113.599999999999</v>
      </c>
    </row>
    <row r="32" spans="1:11" x14ac:dyDescent="0.4">
      <c r="A32" s="47" t="s">
        <v>51</v>
      </c>
      <c r="B32" s="47" t="s">
        <v>73</v>
      </c>
      <c r="H32" s="83">
        <v>157.05000000000001</v>
      </c>
      <c r="I32" s="83">
        <f t="shared" si="0"/>
        <v>0</v>
      </c>
      <c r="J32" s="83">
        <f t="shared" si="1"/>
        <v>0</v>
      </c>
      <c r="K32" s="83">
        <f>2*2*H32</f>
        <v>628.20000000000005</v>
      </c>
    </row>
    <row r="34" spans="8:11" x14ac:dyDescent="0.4">
      <c r="H34" s="49" t="s">
        <v>53</v>
      </c>
      <c r="I34" s="54">
        <f>I4+I5</f>
        <v>15305.939999999999</v>
      </c>
      <c r="J34" s="54">
        <f>J4+J5</f>
        <v>6418.62</v>
      </c>
      <c r="K34" s="53">
        <f>SUM(K4:K5)</f>
        <v>24687</v>
      </c>
    </row>
    <row r="35" spans="8:11" x14ac:dyDescent="0.4">
      <c r="H35" s="49" t="s">
        <v>54</v>
      </c>
      <c r="I35" s="54">
        <f>SUM(I6:I32)</f>
        <v>7748.92</v>
      </c>
      <c r="J35" s="54">
        <f>SUM(J6:J32)</f>
        <v>11055.82</v>
      </c>
      <c r="K35" s="53">
        <f>SUM(K6:K32)</f>
        <v>90794.64</v>
      </c>
    </row>
    <row r="36" spans="8:11" x14ac:dyDescent="0.4">
      <c r="H36" s="49" t="s">
        <v>74</v>
      </c>
      <c r="I36" s="53">
        <f>SUM(I34:I35)</f>
        <v>23054.86</v>
      </c>
      <c r="J36" s="53">
        <f>SUM(J34:J35)</f>
        <v>17474.439999999999</v>
      </c>
      <c r="K36" s="53">
        <f>SUM(K34:K35)</f>
        <v>115481.64</v>
      </c>
    </row>
    <row r="37" spans="8:11" x14ac:dyDescent="0.4">
      <c r="J37" s="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604D-C478-47AA-A1D0-5E4C8C4D4A5A}">
  <dimension ref="A1:AA28"/>
  <sheetViews>
    <sheetView showGridLines="0" workbookViewId="0">
      <selection activeCell="I51" sqref="I51"/>
    </sheetView>
  </sheetViews>
  <sheetFormatPr defaultColWidth="10" defaultRowHeight="16" x14ac:dyDescent="0.35"/>
  <cols>
    <col min="1" max="1" width="13" style="2" bestFit="1" customWidth="1"/>
    <col min="2" max="2" width="57.7265625" style="2" bestFit="1" customWidth="1"/>
    <col min="3" max="3" width="4.26953125" style="2" bestFit="1" customWidth="1"/>
    <col min="4" max="4" width="7.453125" style="2" bestFit="1" customWidth="1"/>
    <col min="5" max="5" width="2.7265625" style="2" customWidth="1"/>
    <col min="6" max="6" width="21.54296875" style="2" bestFit="1" customWidth="1"/>
    <col min="7" max="7" width="7.453125" style="2" bestFit="1" customWidth="1"/>
    <col min="8" max="8" width="2.7265625" style="2" customWidth="1"/>
    <col min="9" max="9" width="28.7265625" style="2" bestFit="1" customWidth="1"/>
    <col min="10" max="10" width="7.453125" style="2" bestFit="1" customWidth="1"/>
    <col min="11" max="11" width="4" style="3" customWidth="1"/>
    <col min="12" max="12" width="38.81640625" style="2" bestFit="1" customWidth="1"/>
    <col min="13" max="13" width="11.7265625" style="2" bestFit="1" customWidth="1"/>
    <col min="14" max="14" width="3.7265625" style="2" bestFit="1" customWidth="1"/>
    <col min="15" max="15" width="10" style="2"/>
    <col min="16" max="16" width="6" style="2" bestFit="1" customWidth="1"/>
    <col min="17" max="17" width="4.7265625" style="2" bestFit="1" customWidth="1"/>
    <col min="18" max="18" width="10" style="2"/>
    <col min="19" max="19" width="17.1796875" style="2" bestFit="1" customWidth="1"/>
    <col min="20" max="20" width="4" style="3" customWidth="1"/>
    <col min="21" max="21" width="96.54296875" style="2" bestFit="1" customWidth="1"/>
    <col min="22" max="27" width="13.7265625" style="2" customWidth="1"/>
    <col min="28" max="16384" width="10" style="2"/>
  </cols>
  <sheetData>
    <row r="1" spans="1:27" x14ac:dyDescent="0.35">
      <c r="A1" s="4" t="s">
        <v>75</v>
      </c>
      <c r="C1" s="44"/>
      <c r="F1" s="44"/>
      <c r="I1" s="44"/>
      <c r="L1" s="4" t="s">
        <v>76</v>
      </c>
    </row>
    <row r="2" spans="1:27" ht="9" customHeight="1" x14ac:dyDescent="0.35"/>
    <row r="3" spans="1:27" x14ac:dyDescent="0.4">
      <c r="A3" s="19" t="s">
        <v>77</v>
      </c>
      <c r="B3" s="18"/>
      <c r="C3" s="17"/>
      <c r="D3" s="15"/>
      <c r="F3" s="16" t="s">
        <v>78</v>
      </c>
      <c r="G3" s="15"/>
      <c r="I3" s="16" t="s">
        <v>79</v>
      </c>
      <c r="J3" s="15"/>
      <c r="L3" s="27"/>
      <c r="M3" s="17" t="s">
        <v>80</v>
      </c>
      <c r="N3" s="17"/>
      <c r="O3" s="17"/>
      <c r="P3" s="43" t="s">
        <v>17</v>
      </c>
      <c r="Q3" s="17"/>
      <c r="R3" s="17"/>
      <c r="S3" s="42" t="s">
        <v>81</v>
      </c>
      <c r="U3" s="41" t="s">
        <v>82</v>
      </c>
      <c r="V3" s="40">
        <v>2022</v>
      </c>
      <c r="W3" s="40">
        <v>2023</v>
      </c>
      <c r="X3" s="40">
        <v>2024</v>
      </c>
      <c r="Y3" s="40">
        <v>2025</v>
      </c>
      <c r="Z3" s="40">
        <v>2026</v>
      </c>
      <c r="AA3" s="40" t="s">
        <v>2</v>
      </c>
    </row>
    <row r="4" spans="1:27" x14ac:dyDescent="0.4">
      <c r="A4" s="39" t="s">
        <v>83</v>
      </c>
      <c r="B4" s="31" t="s">
        <v>84</v>
      </c>
      <c r="C4" s="2">
        <v>8</v>
      </c>
      <c r="D4" s="10" t="s">
        <v>85</v>
      </c>
      <c r="F4" s="11">
        <v>2</v>
      </c>
      <c r="G4" s="10" t="s">
        <v>85</v>
      </c>
      <c r="I4" s="11">
        <v>1</v>
      </c>
      <c r="J4" s="10" t="s">
        <v>85</v>
      </c>
      <c r="L4" s="11" t="s">
        <v>86</v>
      </c>
      <c r="M4" s="2">
        <f>SUM(C4:C25)</f>
        <v>394</v>
      </c>
      <c r="N4" s="2" t="s">
        <v>87</v>
      </c>
      <c r="P4" s="34">
        <f>'SALARY RATE'!D12</f>
        <v>89.822932692307702</v>
      </c>
      <c r="Q4" s="2" t="s">
        <v>88</v>
      </c>
      <c r="S4" s="91">
        <f>M4*P4</f>
        <v>35390.235480769232</v>
      </c>
      <c r="U4" s="38" t="s">
        <v>7</v>
      </c>
      <c r="V4" s="37" t="s">
        <v>89</v>
      </c>
      <c r="W4" s="36">
        <f>Y4*(1-0.06)</f>
        <v>38839.436096153848</v>
      </c>
      <c r="X4" s="36">
        <f>Y4*(1-0.03)</f>
        <v>40078.992567307694</v>
      </c>
      <c r="Y4" s="36">
        <f>S7</f>
        <v>41318.54903846154</v>
      </c>
      <c r="Z4" s="36">
        <f>Y4*(1+0.03)</f>
        <v>42558.105509615387</v>
      </c>
      <c r="AA4" s="36">
        <f>SUM(W4:Z4)</f>
        <v>162795.08321153847</v>
      </c>
    </row>
    <row r="5" spans="1:27" x14ac:dyDescent="0.35">
      <c r="A5" s="32" t="s">
        <v>83</v>
      </c>
      <c r="B5" s="31" t="s">
        <v>90</v>
      </c>
      <c r="C5" s="2">
        <v>8</v>
      </c>
      <c r="D5" s="10" t="s">
        <v>85</v>
      </c>
      <c r="F5" s="11">
        <v>2</v>
      </c>
      <c r="G5" s="10" t="s">
        <v>85</v>
      </c>
      <c r="I5" s="23" t="s">
        <v>91</v>
      </c>
      <c r="J5" s="10"/>
      <c r="L5" s="35" t="s">
        <v>92</v>
      </c>
      <c r="M5" s="2">
        <f>SUM(F4:F25)</f>
        <v>56</v>
      </c>
      <c r="N5" s="2" t="s">
        <v>87</v>
      </c>
      <c r="P5" s="34">
        <f>'SALARY RATE'!D12</f>
        <v>89.822932692307702</v>
      </c>
      <c r="Q5" s="2" t="s">
        <v>88</v>
      </c>
      <c r="S5" s="91">
        <f>M5*P5</f>
        <v>5030.084230769231</v>
      </c>
      <c r="W5" s="33"/>
      <c r="X5" s="33"/>
    </row>
    <row r="6" spans="1:27" x14ac:dyDescent="0.35">
      <c r="A6" s="32" t="s">
        <v>83</v>
      </c>
      <c r="B6" s="31" t="s">
        <v>93</v>
      </c>
      <c r="C6" s="2">
        <v>24</v>
      </c>
      <c r="D6" s="10" t="s">
        <v>85</v>
      </c>
      <c r="F6" s="11">
        <v>4</v>
      </c>
      <c r="G6" s="10" t="s">
        <v>85</v>
      </c>
      <c r="I6" s="23" t="s">
        <v>91</v>
      </c>
      <c r="J6" s="10"/>
      <c r="L6" s="7" t="s">
        <v>94</v>
      </c>
      <c r="M6" s="8">
        <f>SUM(I4:I25)</f>
        <v>10</v>
      </c>
      <c r="N6" s="8" t="s">
        <v>87</v>
      </c>
      <c r="O6" s="8"/>
      <c r="P6" s="30">
        <f>'SALARY RATE'!D12</f>
        <v>89.822932692307702</v>
      </c>
      <c r="Q6" s="8" t="s">
        <v>88</v>
      </c>
      <c r="R6" s="8"/>
      <c r="S6" s="92">
        <f>M6*P6</f>
        <v>898.229326923077</v>
      </c>
    </row>
    <row r="7" spans="1:27" x14ac:dyDescent="0.35">
      <c r="A7" s="29" t="s">
        <v>83</v>
      </c>
      <c r="B7" s="28" t="s">
        <v>95</v>
      </c>
      <c r="C7" s="8">
        <v>8</v>
      </c>
      <c r="D7" s="6" t="s">
        <v>85</v>
      </c>
      <c r="F7" s="7">
        <v>2</v>
      </c>
      <c r="G7" s="6" t="s">
        <v>85</v>
      </c>
      <c r="I7" s="21" t="s">
        <v>91</v>
      </c>
      <c r="J7" s="6"/>
      <c r="L7" s="27"/>
      <c r="M7" s="17"/>
      <c r="N7" s="17"/>
      <c r="O7" s="17"/>
      <c r="P7" s="17"/>
      <c r="Q7" s="17"/>
      <c r="R7" s="26" t="s">
        <v>74</v>
      </c>
      <c r="S7" s="93">
        <f>SUM(S4:S6)</f>
        <v>41318.54903846154</v>
      </c>
    </row>
    <row r="8" spans="1:27" x14ac:dyDescent="0.35">
      <c r="A8" s="20"/>
      <c r="I8" s="25"/>
    </row>
    <row r="9" spans="1:27" x14ac:dyDescent="0.35">
      <c r="A9" s="19" t="s">
        <v>77</v>
      </c>
      <c r="B9" s="18"/>
      <c r="C9" s="17"/>
      <c r="D9" s="15"/>
      <c r="F9" s="16" t="s">
        <v>78</v>
      </c>
      <c r="G9" s="15"/>
      <c r="I9" s="16" t="s">
        <v>79</v>
      </c>
      <c r="J9" s="15"/>
    </row>
    <row r="10" spans="1:27" x14ac:dyDescent="0.35">
      <c r="A10" s="24" t="s">
        <v>96</v>
      </c>
      <c r="B10" s="5" t="s">
        <v>97</v>
      </c>
      <c r="C10" s="2">
        <v>16</v>
      </c>
      <c r="D10" s="10" t="s">
        <v>85</v>
      </c>
      <c r="F10" s="11">
        <v>8</v>
      </c>
      <c r="G10" s="10" t="s">
        <v>85</v>
      </c>
      <c r="I10" s="11">
        <v>1</v>
      </c>
      <c r="J10" s="10" t="s">
        <v>85</v>
      </c>
    </row>
    <row r="11" spans="1:27" x14ac:dyDescent="0.35">
      <c r="A11" s="12" t="s">
        <v>96</v>
      </c>
      <c r="B11" s="5" t="s">
        <v>98</v>
      </c>
      <c r="C11" s="2">
        <v>16</v>
      </c>
      <c r="D11" s="10" t="s">
        <v>85</v>
      </c>
      <c r="F11" s="11">
        <v>8</v>
      </c>
      <c r="G11" s="10" t="s">
        <v>85</v>
      </c>
      <c r="I11" s="23" t="s">
        <v>91</v>
      </c>
      <c r="J11" s="10"/>
    </row>
    <row r="12" spans="1:27" x14ac:dyDescent="0.35">
      <c r="A12" s="12" t="s">
        <v>96</v>
      </c>
      <c r="B12" s="5" t="s">
        <v>99</v>
      </c>
      <c r="C12" s="2">
        <v>32</v>
      </c>
      <c r="D12" s="10" t="s">
        <v>85</v>
      </c>
      <c r="F12" s="11">
        <v>4</v>
      </c>
      <c r="G12" s="10" t="s">
        <v>85</v>
      </c>
      <c r="I12" s="23" t="s">
        <v>91</v>
      </c>
      <c r="J12" s="10"/>
    </row>
    <row r="13" spans="1:27" x14ac:dyDescent="0.35">
      <c r="A13" s="12" t="s">
        <v>96</v>
      </c>
      <c r="B13" s="5" t="s">
        <v>100</v>
      </c>
      <c r="C13" s="2">
        <v>8</v>
      </c>
      <c r="D13" s="10" t="s">
        <v>85</v>
      </c>
      <c r="F13" s="11">
        <v>4</v>
      </c>
      <c r="G13" s="10" t="s">
        <v>85</v>
      </c>
      <c r="I13" s="23" t="s">
        <v>91</v>
      </c>
      <c r="J13" s="10"/>
    </row>
    <row r="14" spans="1:27" x14ac:dyDescent="0.35">
      <c r="A14" s="12" t="s">
        <v>96</v>
      </c>
      <c r="B14" s="5" t="s">
        <v>101</v>
      </c>
      <c r="C14" s="2">
        <v>8</v>
      </c>
      <c r="D14" s="10" t="s">
        <v>85</v>
      </c>
      <c r="F14" s="11">
        <v>4</v>
      </c>
      <c r="G14" s="10" t="s">
        <v>85</v>
      </c>
      <c r="I14" s="23" t="s">
        <v>91</v>
      </c>
      <c r="J14" s="10"/>
    </row>
    <row r="15" spans="1:27" x14ac:dyDescent="0.35">
      <c r="A15" s="9" t="s">
        <v>96</v>
      </c>
      <c r="B15" s="22" t="s">
        <v>102</v>
      </c>
      <c r="C15" s="8">
        <v>2</v>
      </c>
      <c r="D15" s="6" t="s">
        <v>85</v>
      </c>
      <c r="F15" s="7">
        <v>2</v>
      </c>
      <c r="G15" s="6" t="s">
        <v>85</v>
      </c>
      <c r="I15" s="21" t="s">
        <v>91</v>
      </c>
      <c r="J15" s="6"/>
    </row>
    <row r="16" spans="1:27" x14ac:dyDescent="0.35">
      <c r="A16" s="20"/>
    </row>
    <row r="17" spans="1:10" x14ac:dyDescent="0.35">
      <c r="A17" s="19" t="s">
        <v>77</v>
      </c>
      <c r="B17" s="18"/>
      <c r="C17" s="17"/>
      <c r="D17" s="15"/>
      <c r="F17" s="16" t="s">
        <v>78</v>
      </c>
      <c r="G17" s="15"/>
      <c r="I17" s="16" t="s">
        <v>79</v>
      </c>
      <c r="J17" s="15"/>
    </row>
    <row r="18" spans="1:10" x14ac:dyDescent="0.35">
      <c r="A18" s="12" t="s">
        <v>103</v>
      </c>
      <c r="B18" s="2" t="s">
        <v>104</v>
      </c>
      <c r="C18" s="2">
        <v>36</v>
      </c>
      <c r="D18" s="10" t="s">
        <v>85</v>
      </c>
      <c r="F18" s="11">
        <v>2</v>
      </c>
      <c r="G18" s="10" t="s">
        <v>85</v>
      </c>
      <c r="I18" s="14">
        <v>1</v>
      </c>
      <c r="J18" s="13"/>
    </row>
    <row r="19" spans="1:10" x14ac:dyDescent="0.35">
      <c r="A19" s="12" t="s">
        <v>105</v>
      </c>
      <c r="B19" s="2" t="s">
        <v>104</v>
      </c>
      <c r="C19" s="2">
        <v>36</v>
      </c>
      <c r="D19" s="10" t="s">
        <v>85</v>
      </c>
      <c r="F19" s="11">
        <v>2</v>
      </c>
      <c r="G19" s="10" t="s">
        <v>85</v>
      </c>
      <c r="I19" s="11">
        <v>1</v>
      </c>
      <c r="J19" s="10"/>
    </row>
    <row r="20" spans="1:10" x14ac:dyDescent="0.35">
      <c r="A20" s="12" t="s">
        <v>106</v>
      </c>
      <c r="B20" s="2" t="s">
        <v>107</v>
      </c>
      <c r="C20" s="2">
        <v>24</v>
      </c>
      <c r="D20" s="10" t="s">
        <v>85</v>
      </c>
      <c r="F20" s="11">
        <v>2</v>
      </c>
      <c r="G20" s="10" t="s">
        <v>85</v>
      </c>
      <c r="I20" s="11">
        <v>1</v>
      </c>
      <c r="J20" s="10"/>
    </row>
    <row r="21" spans="1:10" x14ac:dyDescent="0.35">
      <c r="A21" s="12" t="s">
        <v>108</v>
      </c>
      <c r="B21" s="2" t="s">
        <v>104</v>
      </c>
      <c r="C21" s="2">
        <v>36</v>
      </c>
      <c r="D21" s="10" t="s">
        <v>85</v>
      </c>
      <c r="F21" s="11">
        <v>2</v>
      </c>
      <c r="G21" s="10" t="s">
        <v>85</v>
      </c>
      <c r="I21" s="11">
        <v>1</v>
      </c>
      <c r="J21" s="10"/>
    </row>
    <row r="22" spans="1:10" x14ac:dyDescent="0.35">
      <c r="A22" s="12" t="s">
        <v>109</v>
      </c>
      <c r="B22" s="2" t="s">
        <v>104</v>
      </c>
      <c r="C22" s="2">
        <v>36</v>
      </c>
      <c r="D22" s="10" t="s">
        <v>85</v>
      </c>
      <c r="F22" s="11">
        <v>2</v>
      </c>
      <c r="G22" s="10" t="s">
        <v>85</v>
      </c>
      <c r="I22" s="11">
        <v>1</v>
      </c>
      <c r="J22" s="10"/>
    </row>
    <row r="23" spans="1:10" x14ac:dyDescent="0.35">
      <c r="A23" s="12" t="s">
        <v>110</v>
      </c>
      <c r="B23" s="2" t="s">
        <v>104</v>
      </c>
      <c r="C23" s="2">
        <v>36</v>
      </c>
      <c r="D23" s="10" t="s">
        <v>85</v>
      </c>
      <c r="F23" s="11">
        <v>2</v>
      </c>
      <c r="G23" s="10" t="s">
        <v>85</v>
      </c>
      <c r="I23" s="11">
        <v>1</v>
      </c>
      <c r="J23" s="10"/>
    </row>
    <row r="24" spans="1:10" x14ac:dyDescent="0.35">
      <c r="A24" s="12" t="s">
        <v>111</v>
      </c>
      <c r="B24" s="2" t="s">
        <v>104</v>
      </c>
      <c r="C24" s="2">
        <v>36</v>
      </c>
      <c r="D24" s="10" t="s">
        <v>85</v>
      </c>
      <c r="F24" s="11">
        <v>2</v>
      </c>
      <c r="G24" s="10" t="s">
        <v>85</v>
      </c>
      <c r="I24" s="11">
        <v>1</v>
      </c>
      <c r="J24" s="10"/>
    </row>
    <row r="25" spans="1:10" x14ac:dyDescent="0.35">
      <c r="A25" s="9" t="s">
        <v>112</v>
      </c>
      <c r="B25" s="8" t="s">
        <v>107</v>
      </c>
      <c r="C25" s="8">
        <v>24</v>
      </c>
      <c r="D25" s="6" t="s">
        <v>85</v>
      </c>
      <c r="F25" s="7">
        <v>2</v>
      </c>
      <c r="G25" s="6" t="s">
        <v>85</v>
      </c>
      <c r="I25" s="7">
        <v>1</v>
      </c>
      <c r="J25" s="6"/>
    </row>
    <row r="26" spans="1:10" x14ac:dyDescent="0.35">
      <c r="A26" s="5"/>
    </row>
    <row r="28" spans="1:10" x14ac:dyDescent="0.35">
      <c r="A2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AEEEB-348C-4E99-B230-B3266C73CA78}">
  <dimension ref="A1:H33"/>
  <sheetViews>
    <sheetView zoomScale="85" zoomScaleNormal="85" workbookViewId="0">
      <selection activeCell="M34" sqref="M34"/>
    </sheetView>
  </sheetViews>
  <sheetFormatPr defaultColWidth="8.81640625" defaultRowHeight="16" x14ac:dyDescent="0.4"/>
  <cols>
    <col min="1" max="1" width="27.453125" style="47" bestFit="1" customWidth="1"/>
    <col min="2" max="2" width="8.81640625" style="47"/>
    <col min="3" max="3" width="14.26953125" style="47" customWidth="1"/>
    <col min="4" max="4" width="11.81640625" style="47" customWidth="1"/>
    <col min="5" max="5" width="20.54296875" style="47" bestFit="1" customWidth="1"/>
    <col min="6" max="6" width="11.26953125" style="47" bestFit="1" customWidth="1"/>
    <col min="7" max="8" width="14" style="47" bestFit="1" customWidth="1"/>
    <col min="9" max="16384" width="8.81640625" style="47"/>
  </cols>
  <sheetData>
    <row r="1" spans="1:8" ht="18" x14ac:dyDescent="0.4">
      <c r="A1" s="70"/>
      <c r="B1" s="70"/>
      <c r="C1" s="70"/>
      <c r="D1" s="70"/>
      <c r="E1" s="70"/>
      <c r="F1" s="70"/>
      <c r="G1" s="70"/>
      <c r="H1" s="70"/>
    </row>
    <row r="2" spans="1:8" ht="18" x14ac:dyDescent="0.4">
      <c r="A2" s="70"/>
      <c r="B2" s="70"/>
      <c r="C2" s="70"/>
      <c r="D2" s="70"/>
      <c r="E2" s="70"/>
      <c r="F2" s="70"/>
      <c r="G2" s="70"/>
      <c r="H2" s="70"/>
    </row>
    <row r="3" spans="1:8" ht="18" x14ac:dyDescent="0.4">
      <c r="A3" s="65"/>
      <c r="B3" s="65"/>
      <c r="C3" s="65"/>
      <c r="D3" s="65"/>
      <c r="E3" s="70" t="s">
        <v>113</v>
      </c>
      <c r="F3" s="70">
        <v>1.649</v>
      </c>
      <c r="G3" s="70"/>
      <c r="H3" s="70"/>
    </row>
    <row r="4" spans="1:8" ht="18" x14ac:dyDescent="0.4">
      <c r="A4" s="71"/>
      <c r="B4" s="65"/>
      <c r="C4" s="71"/>
      <c r="D4" s="71"/>
      <c r="E4" s="70" t="s">
        <v>114</v>
      </c>
      <c r="F4" s="70">
        <v>2080</v>
      </c>
      <c r="G4" s="70"/>
      <c r="H4" s="70"/>
    </row>
    <row r="5" spans="1:8" x14ac:dyDescent="0.4">
      <c r="A5" s="66" t="s">
        <v>115</v>
      </c>
      <c r="B5" s="66"/>
      <c r="C5" s="60" t="s">
        <v>116</v>
      </c>
      <c r="D5" s="60" t="s">
        <v>117</v>
      </c>
      <c r="E5" s="69"/>
      <c r="F5" s="69"/>
      <c r="G5" s="69"/>
      <c r="H5" s="69"/>
    </row>
    <row r="6" spans="1:8" x14ac:dyDescent="0.4">
      <c r="A6" s="62" t="s">
        <v>118</v>
      </c>
      <c r="B6" s="62"/>
      <c r="C6" s="61">
        <v>198100</v>
      </c>
      <c r="D6" s="62">
        <f>(C6*F3)/F4</f>
        <v>157.05139423076923</v>
      </c>
      <c r="E6" s="69"/>
      <c r="F6" s="69"/>
      <c r="G6" s="69"/>
      <c r="H6" s="69"/>
    </row>
    <row r="7" spans="1:8" x14ac:dyDescent="0.4">
      <c r="A7" s="62" t="s">
        <v>119</v>
      </c>
      <c r="B7" s="62"/>
      <c r="C7" s="61">
        <v>172300</v>
      </c>
      <c r="D7" s="62">
        <f>(C7*F3)/F4</f>
        <v>136.59745192307693</v>
      </c>
      <c r="E7" s="67"/>
      <c r="F7" s="67"/>
      <c r="G7" s="67"/>
      <c r="H7" s="58"/>
    </row>
    <row r="8" spans="1:8" x14ac:dyDescent="0.4">
      <c r="A8" s="60" t="s">
        <v>120</v>
      </c>
      <c r="B8" s="60"/>
      <c r="C8" s="62">
        <f>(C6+C7)/2</f>
        <v>185200</v>
      </c>
      <c r="D8" s="60">
        <f>(C8*F3/F4)</f>
        <v>146.82442307692307</v>
      </c>
      <c r="E8" s="106" t="s">
        <v>121</v>
      </c>
      <c r="F8" s="107"/>
      <c r="G8" s="107"/>
      <c r="H8" s="108"/>
    </row>
    <row r="9" spans="1:8" x14ac:dyDescent="0.4">
      <c r="A9" s="66" t="s">
        <v>122</v>
      </c>
      <c r="B9" s="60"/>
      <c r="C9" s="62"/>
      <c r="D9" s="62"/>
      <c r="E9" s="109" t="s">
        <v>123</v>
      </c>
      <c r="F9" s="110"/>
      <c r="G9" s="110"/>
      <c r="H9" s="111"/>
    </row>
    <row r="10" spans="1:8" x14ac:dyDescent="0.4">
      <c r="A10" s="62" t="s">
        <v>124</v>
      </c>
      <c r="B10" s="60"/>
      <c r="C10" s="61">
        <v>149800</v>
      </c>
      <c r="D10" s="60">
        <f>(C10*F3/F4)</f>
        <v>118.75971153846154</v>
      </c>
      <c r="E10" s="99"/>
      <c r="F10" s="100"/>
      <c r="G10" s="100"/>
      <c r="H10" s="101"/>
    </row>
    <row r="11" spans="1:8" ht="37.15" customHeight="1" x14ac:dyDescent="0.4">
      <c r="A11" s="62" t="s">
        <v>125</v>
      </c>
      <c r="B11" s="62"/>
      <c r="C11" s="68">
        <v>130100</v>
      </c>
      <c r="D11" s="60">
        <f>(C11*F3/F4)</f>
        <v>103.14177884615384</v>
      </c>
      <c r="E11" s="102" t="s">
        <v>126</v>
      </c>
      <c r="F11" s="103"/>
      <c r="G11" s="87">
        <v>78100</v>
      </c>
      <c r="H11" s="87">
        <v>188800</v>
      </c>
    </row>
    <row r="12" spans="1:8" x14ac:dyDescent="0.4">
      <c r="A12" s="62" t="s">
        <v>127</v>
      </c>
      <c r="B12" s="62"/>
      <c r="C12" s="61">
        <v>113300</v>
      </c>
      <c r="D12" s="60">
        <f>(C12*F3)/F4</f>
        <v>89.822932692307702</v>
      </c>
      <c r="E12" s="104" t="s">
        <v>128</v>
      </c>
      <c r="F12" s="105"/>
      <c r="G12" s="87">
        <v>94800</v>
      </c>
      <c r="H12" s="87">
        <v>216600</v>
      </c>
    </row>
    <row r="13" spans="1:8" x14ac:dyDescent="0.4">
      <c r="A13" s="62"/>
      <c r="B13" s="62"/>
      <c r="C13" s="62"/>
      <c r="D13" s="60"/>
      <c r="E13" s="58"/>
      <c r="F13" s="58"/>
      <c r="G13" s="88"/>
      <c r="H13" s="89"/>
    </row>
    <row r="14" spans="1:8" x14ac:dyDescent="0.4">
      <c r="A14" s="66" t="s">
        <v>129</v>
      </c>
      <c r="B14" s="62"/>
      <c r="C14" s="62"/>
      <c r="D14" s="60"/>
      <c r="E14" s="58"/>
      <c r="F14" s="58" t="s">
        <v>130</v>
      </c>
      <c r="G14" s="88">
        <f>(G11+H11)/2</f>
        <v>133450</v>
      </c>
      <c r="H14" s="90">
        <f>(G14/F4)*1.571</f>
        <v>100.79324519230768</v>
      </c>
    </row>
    <row r="15" spans="1:8" x14ac:dyDescent="0.4">
      <c r="A15" s="62" t="s">
        <v>131</v>
      </c>
      <c r="B15" s="62"/>
      <c r="C15" s="61">
        <v>98400</v>
      </c>
      <c r="D15" s="60">
        <f>(C15*F3/F4)</f>
        <v>78.010384615384623</v>
      </c>
      <c r="E15" s="58"/>
      <c r="F15" s="58" t="s">
        <v>132</v>
      </c>
      <c r="G15" s="88">
        <f>(G12+H12)/2</f>
        <v>155700</v>
      </c>
      <c r="H15" s="89">
        <f>(G15/F4)*1.571</f>
        <v>117.59841346153846</v>
      </c>
    </row>
    <row r="16" spans="1:8" x14ac:dyDescent="0.4">
      <c r="A16" s="62"/>
      <c r="B16" s="62"/>
      <c r="C16" s="61"/>
      <c r="D16" s="60"/>
      <c r="E16" s="59"/>
      <c r="F16" s="59"/>
      <c r="G16" s="59"/>
      <c r="H16" s="58"/>
    </row>
    <row r="17" spans="1:8" x14ac:dyDescent="0.4">
      <c r="A17" s="64"/>
      <c r="B17" s="64"/>
      <c r="C17" s="73"/>
      <c r="D17" s="63"/>
      <c r="E17" s="58"/>
      <c r="F17" s="67"/>
      <c r="G17" s="64"/>
      <c r="H17" s="72"/>
    </row>
    <row r="18" spans="1:8" x14ac:dyDescent="0.4">
      <c r="A18" s="67"/>
      <c r="B18" s="58"/>
      <c r="C18" s="64"/>
      <c r="D18" s="64"/>
      <c r="E18" s="58"/>
      <c r="F18" s="67"/>
      <c r="G18" s="64"/>
      <c r="H18" s="72"/>
    </row>
    <row r="19" spans="1:8" ht="18" x14ac:dyDescent="0.4">
      <c r="A19" s="65"/>
      <c r="B19" s="65"/>
      <c r="C19" s="65"/>
      <c r="D19" s="65"/>
      <c r="E19" s="58"/>
      <c r="F19" s="67"/>
      <c r="G19" s="64"/>
      <c r="H19" s="72"/>
    </row>
    <row r="20" spans="1:8" ht="18" x14ac:dyDescent="0.4">
      <c r="A20" s="65"/>
      <c r="B20" s="65"/>
      <c r="C20" s="65"/>
      <c r="D20" s="65"/>
      <c r="E20" s="70" t="s">
        <v>113</v>
      </c>
      <c r="F20" s="70">
        <v>1.649</v>
      </c>
      <c r="G20" s="70"/>
      <c r="H20" s="70"/>
    </row>
    <row r="21" spans="1:8" ht="18" x14ac:dyDescent="0.4">
      <c r="A21" s="71"/>
      <c r="B21" s="65"/>
      <c r="C21" s="71"/>
      <c r="D21" s="71"/>
      <c r="E21" s="70" t="s">
        <v>114</v>
      </c>
      <c r="F21" s="70">
        <v>2080</v>
      </c>
      <c r="G21" s="70"/>
      <c r="H21" s="70"/>
    </row>
    <row r="22" spans="1:8" x14ac:dyDescent="0.4">
      <c r="A22" s="66" t="s">
        <v>115</v>
      </c>
      <c r="B22" s="66"/>
      <c r="C22" s="60" t="s">
        <v>116</v>
      </c>
      <c r="D22" s="60" t="s">
        <v>117</v>
      </c>
      <c r="E22" s="69"/>
      <c r="F22" s="69"/>
      <c r="G22" s="69"/>
      <c r="H22" s="69"/>
    </row>
    <row r="23" spans="1:8" x14ac:dyDescent="0.4">
      <c r="A23" s="62" t="s">
        <v>118</v>
      </c>
      <c r="B23" s="62"/>
      <c r="C23" s="61">
        <v>212300</v>
      </c>
      <c r="D23" s="62">
        <f>(C23*F20)/F21</f>
        <v>168.30899038461538</v>
      </c>
      <c r="E23" s="69"/>
      <c r="F23" s="69"/>
      <c r="G23" s="69"/>
      <c r="H23" s="69"/>
    </row>
    <row r="24" spans="1:8" x14ac:dyDescent="0.4">
      <c r="A24" s="62" t="s">
        <v>119</v>
      </c>
      <c r="B24" s="62"/>
      <c r="C24" s="61">
        <v>184500</v>
      </c>
      <c r="D24" s="62">
        <f>(C24*F20)/F21</f>
        <v>146.26947115384615</v>
      </c>
      <c r="E24" s="67"/>
      <c r="F24" s="67"/>
      <c r="G24" s="67"/>
      <c r="H24" s="58"/>
    </row>
    <row r="25" spans="1:8" x14ac:dyDescent="0.4">
      <c r="A25" s="60" t="s">
        <v>120</v>
      </c>
      <c r="B25" s="60"/>
      <c r="C25" s="62">
        <f>(C23+C24)/2</f>
        <v>198400</v>
      </c>
      <c r="D25" s="60">
        <f>(C25*F20/F21)</f>
        <v>157.28923076923076</v>
      </c>
      <c r="E25" s="106" t="s">
        <v>121</v>
      </c>
      <c r="F25" s="107"/>
      <c r="G25" s="107"/>
      <c r="H25" s="108"/>
    </row>
    <row r="26" spans="1:8" x14ac:dyDescent="0.4">
      <c r="A26" s="66" t="s">
        <v>122</v>
      </c>
      <c r="B26" s="60"/>
      <c r="C26" s="62"/>
      <c r="D26" s="62"/>
      <c r="E26" s="109" t="s">
        <v>123</v>
      </c>
      <c r="F26" s="110"/>
      <c r="G26" s="110"/>
      <c r="H26" s="111"/>
    </row>
    <row r="27" spans="1:8" x14ac:dyDescent="0.4">
      <c r="A27" s="62" t="s">
        <v>124</v>
      </c>
      <c r="B27" s="60"/>
      <c r="C27" s="61">
        <v>160400</v>
      </c>
      <c r="D27" s="60">
        <f>(C27*F20/F21)</f>
        <v>127.16326923076922</v>
      </c>
      <c r="E27" s="99"/>
      <c r="F27" s="100"/>
      <c r="G27" s="100"/>
      <c r="H27" s="101"/>
    </row>
    <row r="28" spans="1:8" x14ac:dyDescent="0.4">
      <c r="A28" s="62" t="s">
        <v>125</v>
      </c>
      <c r="B28" s="62"/>
      <c r="C28" s="68">
        <v>139300</v>
      </c>
      <c r="D28" s="60">
        <f>(C28*F20/F21)</f>
        <v>110.4354326923077</v>
      </c>
      <c r="E28" s="102" t="s">
        <v>126</v>
      </c>
      <c r="F28" s="103"/>
      <c r="G28" s="87">
        <v>83600</v>
      </c>
      <c r="H28" s="87">
        <v>202200</v>
      </c>
    </row>
    <row r="29" spans="1:8" x14ac:dyDescent="0.4">
      <c r="A29" s="62" t="s">
        <v>127</v>
      </c>
      <c r="B29" s="62"/>
      <c r="C29" s="61">
        <v>121400</v>
      </c>
      <c r="D29" s="60">
        <f>(C29*F20)/F21</f>
        <v>96.244519230769228</v>
      </c>
      <c r="E29" s="104" t="s">
        <v>128</v>
      </c>
      <c r="F29" s="105"/>
      <c r="G29" s="87">
        <v>101500</v>
      </c>
      <c r="H29" s="87">
        <v>241100</v>
      </c>
    </row>
    <row r="30" spans="1:8" x14ac:dyDescent="0.4">
      <c r="A30" s="62"/>
      <c r="B30" s="62"/>
      <c r="C30" s="62"/>
      <c r="D30" s="60"/>
      <c r="E30" s="58"/>
      <c r="F30" s="58"/>
      <c r="G30" s="88"/>
      <c r="H30" s="89"/>
    </row>
    <row r="31" spans="1:8" x14ac:dyDescent="0.4">
      <c r="A31" s="66"/>
      <c r="B31" s="62"/>
      <c r="C31" s="62"/>
      <c r="D31" s="60"/>
      <c r="E31" s="58"/>
      <c r="F31" s="58" t="s">
        <v>130</v>
      </c>
      <c r="G31" s="88">
        <f>(G28+H28)/2</f>
        <v>142900</v>
      </c>
      <c r="H31" s="90">
        <f>(G31/F21)*1.571</f>
        <v>107.93072115384615</v>
      </c>
    </row>
    <row r="32" spans="1:8" x14ac:dyDescent="0.4">
      <c r="A32" s="62"/>
      <c r="B32" s="62"/>
      <c r="C32" s="61"/>
      <c r="D32" s="60"/>
      <c r="E32" s="58"/>
      <c r="F32" s="58" t="s">
        <v>132</v>
      </c>
      <c r="G32" s="88">
        <f>(G29+H29)/2</f>
        <v>171300</v>
      </c>
      <c r="H32" s="89">
        <f>(G32/F21)*1.571</f>
        <v>129.38091346153846</v>
      </c>
    </row>
    <row r="33" spans="1:8" x14ac:dyDescent="0.4">
      <c r="A33" s="62"/>
      <c r="B33" s="62"/>
      <c r="C33" s="61"/>
      <c r="D33" s="60"/>
      <c r="E33" s="59"/>
      <c r="F33" s="59"/>
      <c r="G33" s="59"/>
      <c r="H33" s="58"/>
    </row>
  </sheetData>
  <mergeCells count="10">
    <mergeCell ref="E29:F29"/>
    <mergeCell ref="E25:H25"/>
    <mergeCell ref="E26:H26"/>
    <mergeCell ref="E27:H27"/>
    <mergeCell ref="E28:F28"/>
    <mergeCell ref="E10:H10"/>
    <mergeCell ref="E11:F11"/>
    <mergeCell ref="E12:F12"/>
    <mergeCell ref="E8:H8"/>
    <mergeCell ref="E9:H9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C0296BB7A1946B8C5186794BF32DE" ma:contentTypeVersion="4" ma:contentTypeDescription="Create a new document." ma:contentTypeScope="" ma:versionID="43bf439380057e3632203fa97cc55b40">
  <xsd:schema xmlns:xsd="http://www.w3.org/2001/XMLSchema" xmlns:xs="http://www.w3.org/2001/XMLSchema" xmlns:p="http://schemas.microsoft.com/office/2006/metadata/properties" xmlns:ns2="18650227-a6ba-456e-8480-3714f3205380" targetNamespace="http://schemas.microsoft.com/office/2006/metadata/properties" ma:root="true" ma:fieldsID="7f1c7985df6f57845d373682049b7b24" ns2:_="">
    <xsd:import namespace="18650227-a6ba-456e-8480-3714f32053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50227-a6ba-456e-8480-3714f3205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59787-00CB-4C01-92D8-7E5CCFFBEA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85A287-26F5-4956-96C8-312953095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650227-a6ba-456e-8480-3714f32053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BB34F0-E6A0-476B-8241-12C32087FF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Support -&gt;</vt:lpstr>
      <vt:lpstr>ESM ADMIN COSTS 2023</vt:lpstr>
      <vt:lpstr>ESM ADMIN COSTS 2024</vt:lpstr>
      <vt:lpstr>ESM ADMIN COSTS 2025</vt:lpstr>
      <vt:lpstr>ESM ADMIN COSTS 2026</vt:lpstr>
      <vt:lpstr>Time Report</vt:lpstr>
      <vt:lpstr>FacilityRpts_Admin_Hours+Cost</vt:lpstr>
      <vt:lpstr>SALARY RATE</vt:lpstr>
    </vt:vector>
  </TitlesOfParts>
  <Manager/>
  <Company>Puget Sound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Yakupova, Kelima</dc:creator>
  <cp:keywords/>
  <dc:description/>
  <cp:lastModifiedBy>Yakupova, Kelima</cp:lastModifiedBy>
  <cp:revision/>
  <dcterms:created xsi:type="dcterms:W3CDTF">2025-08-08T20:36:36Z</dcterms:created>
  <dcterms:modified xsi:type="dcterms:W3CDTF">2025-08-23T00:32:34Z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2025-08-08T21:06:52Z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fb8d34c5-7afe-4e72-9dcc-eecd6d5301b1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0x010100F9EC0296BB7A1946B8C5186794BF32DE</vt:lpwstr>
  </property>
</Properties>
</file>